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charts/chart6.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style4.xml" ContentType="application/vnd.ms-office.chartstyle+xml"/>
  <Override PartName="/xl/charts/colors4.xml" ContentType="application/vnd.ms-office.chartcolor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668" windowHeight="5856" tabRatio="791"/>
  </bookViews>
  <sheets>
    <sheet name="Basisdaten" sheetId="1" r:id="rId1"/>
    <sheet name="Gesamtsimulation" sheetId="12" r:id="rId2"/>
    <sheet name="Simulation Ressourcenrückgang" sheetId="8" r:id="rId3"/>
    <sheet name="Entschuldungsbeiträge" sheetId="11" r:id="rId4"/>
    <sheet name="FF 2015" sheetId="9" r:id="rId5"/>
    <sheet name="Fusions.Simulation" sheetId="10" r:id="rId6"/>
    <sheet name="Personal" sheetId="2" r:id="rId7"/>
    <sheet name="Mitglieder" sheetId="3" r:id="rId8"/>
  </sheets>
  <definedNames>
    <definedName name="_xlnm._FilterDatabase" localSheetId="4" hidden="1">'FF 2015'!$A$1:$M$12</definedName>
    <definedName name="_xlnm.Print_Area" localSheetId="0">Basisdaten!$A$1:$O$179</definedName>
    <definedName name="_xlnm.Print_Area" localSheetId="4">'FF 2015'!$A$1:$M$12</definedName>
    <definedName name="_xlnm.Print_Area" localSheetId="5">Fusions.Simulation!$A$1:$H$12</definedName>
    <definedName name="_xlnm.Print_Area" localSheetId="7">Mitglieder!$A$1:$K$23</definedName>
    <definedName name="_xlnm.Print_Area" localSheetId="6">Personal!$A$1:$O$34</definedName>
    <definedName name="_xlnm.Print_Titles" localSheetId="4">'FF 2015'!$1:$1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2" l="1"/>
  <c r="D39" i="12" s="1"/>
  <c r="E39" i="12" s="1"/>
  <c r="F39" i="12" s="1"/>
  <c r="G39" i="12" s="1"/>
  <c r="H39" i="12" s="1"/>
  <c r="I39" i="12" s="1"/>
  <c r="J39" i="12" s="1"/>
  <c r="K39" i="12" s="1"/>
  <c r="L39" i="12" s="1"/>
  <c r="L50" i="12"/>
  <c r="K50" i="12"/>
  <c r="J50" i="12"/>
  <c r="I50" i="12"/>
  <c r="H50" i="12"/>
  <c r="G50" i="12"/>
  <c r="F50" i="12"/>
  <c r="E50" i="12"/>
  <c r="D50" i="12"/>
  <c r="C50" i="12"/>
  <c r="C17" i="8"/>
  <c r="D17" i="8"/>
  <c r="E17" i="8"/>
  <c r="F17" i="8"/>
  <c r="G17" i="8"/>
  <c r="H17" i="8"/>
  <c r="I17" i="8"/>
  <c r="J17" i="8"/>
  <c r="K17" i="8"/>
  <c r="L17" i="8"/>
  <c r="M17" i="8"/>
  <c r="B17" i="8"/>
  <c r="B13" i="8"/>
  <c r="B12" i="8"/>
  <c r="C40" i="12"/>
  <c r="D40" i="12" s="1"/>
  <c r="E40" i="12" s="1"/>
  <c r="F40" i="12" s="1"/>
  <c r="G40" i="12" s="1"/>
  <c r="H40" i="12" s="1"/>
  <c r="I40" i="12" s="1"/>
  <c r="C41" i="12"/>
  <c r="D41" i="12" s="1"/>
  <c r="E41" i="12" s="1"/>
  <c r="F41" i="12" s="1"/>
  <c r="G41" i="12" s="1"/>
  <c r="H41" i="12" s="1"/>
  <c r="I41" i="12" s="1"/>
  <c r="J41" i="12" s="1"/>
  <c r="K41" i="12" s="1"/>
  <c r="L41" i="12" s="1"/>
  <c r="C42" i="12"/>
  <c r="AA2" i="9"/>
  <c r="J40" i="12" l="1"/>
  <c r="K40" i="12" s="1"/>
  <c r="L40" i="12" s="1"/>
  <c r="B41" i="12"/>
  <c r="B49" i="12" l="1"/>
  <c r="B17" i="12"/>
  <c r="B48" i="12"/>
  <c r="C48" i="12" s="1"/>
  <c r="D48" i="12" s="1"/>
  <c r="E48" i="12" s="1"/>
  <c r="F48" i="12" s="1"/>
  <c r="G48" i="12" s="1"/>
  <c r="H48" i="12" s="1"/>
  <c r="I48" i="12" s="1"/>
  <c r="J48" i="12" s="1"/>
  <c r="K48" i="12" s="1"/>
  <c r="L48" i="12" s="1"/>
  <c r="B42" i="12"/>
  <c r="D42" i="12" s="1"/>
  <c r="E42" i="12" s="1"/>
  <c r="F42" i="12" s="1"/>
  <c r="G42" i="12" s="1"/>
  <c r="H42" i="12" s="1"/>
  <c r="I42" i="12" s="1"/>
  <c r="J42" i="12" s="1"/>
  <c r="K42" i="12" s="1"/>
  <c r="L42" i="12" s="1"/>
  <c r="B40" i="12"/>
  <c r="B39" i="12" l="1"/>
  <c r="C22" i="10"/>
  <c r="C19" i="10"/>
  <c r="G19" i="10"/>
  <c r="G20" i="10"/>
  <c r="G21" i="10"/>
  <c r="G22" i="10"/>
  <c r="G23" i="10"/>
  <c r="G24" i="10"/>
  <c r="G25" i="10"/>
  <c r="G26" i="10"/>
  <c r="G27" i="10"/>
  <c r="G18" i="10"/>
  <c r="D18" i="10"/>
  <c r="E18" i="10"/>
  <c r="F18" i="10"/>
  <c r="B19" i="10"/>
  <c r="D19" i="10"/>
  <c r="E19" i="10"/>
  <c r="F19" i="10"/>
  <c r="D20" i="10"/>
  <c r="E20" i="10"/>
  <c r="F20" i="10"/>
  <c r="B21" i="10"/>
  <c r="D21" i="10"/>
  <c r="E21" i="10"/>
  <c r="F21" i="10"/>
  <c r="B22" i="10"/>
  <c r="D22" i="10"/>
  <c r="E22" i="10"/>
  <c r="F22" i="10"/>
  <c r="D23" i="10"/>
  <c r="E23" i="10"/>
  <c r="F23" i="10"/>
  <c r="B24" i="10"/>
  <c r="D24" i="10"/>
  <c r="E24" i="10"/>
  <c r="F24" i="10"/>
  <c r="D25" i="10"/>
  <c r="E25" i="10"/>
  <c r="F25" i="10"/>
  <c r="D26" i="10"/>
  <c r="E26" i="10"/>
  <c r="F26" i="10"/>
  <c r="D27" i="10"/>
  <c r="E27" i="10"/>
  <c r="F27" i="10"/>
  <c r="A19" i="10"/>
  <c r="A20" i="10"/>
  <c r="A21" i="10"/>
  <c r="A22" i="10"/>
  <c r="A23" i="10"/>
  <c r="A24" i="10"/>
  <c r="B17" i="10"/>
  <c r="D17" i="10"/>
  <c r="F17" i="10"/>
  <c r="A17" i="10"/>
  <c r="B24" i="11" l="1"/>
  <c r="B25" i="11"/>
  <c r="B22" i="11"/>
  <c r="B23" i="11"/>
  <c r="C43" i="2" l="1"/>
  <c r="C42" i="2"/>
  <c r="U15" i="1"/>
  <c r="V15" i="1"/>
  <c r="W15" i="1"/>
  <c r="X15" i="1"/>
  <c r="Y15" i="1"/>
  <c r="Z15" i="1"/>
  <c r="AA15" i="1"/>
  <c r="AB15" i="1"/>
  <c r="AC15" i="1"/>
  <c r="AD15" i="1"/>
  <c r="AE15" i="1"/>
  <c r="P15" i="1"/>
  <c r="O16" i="1"/>
  <c r="P16" i="1"/>
  <c r="O17" i="1"/>
  <c r="P17" i="1"/>
  <c r="O18" i="1"/>
  <c r="P18" i="1"/>
  <c r="O19" i="1"/>
  <c r="P19" i="1"/>
  <c r="O20" i="1"/>
  <c r="P20" i="1"/>
  <c r="M14" i="1"/>
  <c r="B27" i="3" l="1"/>
  <c r="B26" i="3"/>
  <c r="B28" i="3"/>
  <c r="B29" i="3"/>
  <c r="B30" i="3"/>
  <c r="B31" i="3"/>
  <c r="B32" i="3"/>
  <c r="B33" i="3"/>
  <c r="B34" i="3"/>
  <c r="B35" i="3"/>
  <c r="P21" i="1"/>
  <c r="P22" i="1"/>
  <c r="P23" i="1"/>
  <c r="W13" i="2" l="1"/>
  <c r="W12" i="2"/>
  <c r="W11" i="2"/>
  <c r="W10" i="2"/>
  <c r="W9" i="2"/>
  <c r="W8" i="2"/>
  <c r="V8" i="2"/>
  <c r="V13" i="2"/>
  <c r="V12" i="2"/>
  <c r="V11" i="2"/>
  <c r="V10" i="2"/>
  <c r="V9" i="2"/>
  <c r="N112" i="1" l="1"/>
  <c r="N113" i="1"/>
  <c r="N114" i="1"/>
  <c r="N115" i="1"/>
  <c r="N116" i="1"/>
  <c r="S112" i="1"/>
  <c r="S107" i="1"/>
  <c r="N169" i="1" l="1"/>
  <c r="D118" i="1"/>
  <c r="E118" i="1"/>
  <c r="F118" i="1"/>
  <c r="G118" i="1"/>
  <c r="H118" i="1"/>
  <c r="I118" i="1"/>
  <c r="J118" i="1"/>
  <c r="K118" i="1"/>
  <c r="L118" i="1"/>
  <c r="M118" i="1"/>
  <c r="C118" i="1"/>
  <c r="D117" i="1"/>
  <c r="E117" i="1"/>
  <c r="F117" i="1"/>
  <c r="G117" i="1"/>
  <c r="H117" i="1"/>
  <c r="I117" i="1"/>
  <c r="J117" i="1"/>
  <c r="K117" i="1"/>
  <c r="L117" i="1"/>
  <c r="M117" i="1"/>
  <c r="C117" i="1"/>
  <c r="N27" i="1"/>
  <c r="E3" i="11" l="1"/>
  <c r="C3" i="11"/>
  <c r="C11" i="11" s="1"/>
  <c r="D3" i="11"/>
  <c r="F3" i="11"/>
  <c r="G3" i="11"/>
  <c r="G11" i="11" s="1"/>
  <c r="H3" i="11"/>
  <c r="H11" i="11" s="1"/>
  <c r="I3" i="11"/>
  <c r="J3" i="11"/>
  <c r="J11" i="11" s="1"/>
  <c r="K3" i="11"/>
  <c r="L3" i="11"/>
  <c r="B3" i="11"/>
  <c r="C5" i="11"/>
  <c r="C6" i="11" s="1"/>
  <c r="D5" i="11"/>
  <c r="E5" i="11"/>
  <c r="F5" i="11"/>
  <c r="G5" i="11"/>
  <c r="G6" i="11" s="1"/>
  <c r="H5" i="11"/>
  <c r="I5" i="11"/>
  <c r="J5" i="11"/>
  <c r="K5" i="11"/>
  <c r="K6" i="11" s="1"/>
  <c r="L5" i="11"/>
  <c r="B5" i="11"/>
  <c r="C4" i="11"/>
  <c r="D4" i="11"/>
  <c r="D7" i="11" s="1"/>
  <c r="E4" i="11"/>
  <c r="F4" i="11"/>
  <c r="G4" i="11"/>
  <c r="H4" i="11"/>
  <c r="H7" i="11" s="1"/>
  <c r="I4" i="11"/>
  <c r="J4" i="11"/>
  <c r="K4" i="11"/>
  <c r="L4" i="11"/>
  <c r="L7" i="11" s="1"/>
  <c r="B4" i="11"/>
  <c r="C2" i="11"/>
  <c r="D2" i="11"/>
  <c r="E2" i="11"/>
  <c r="F2" i="11"/>
  <c r="G2" i="11"/>
  <c r="H2" i="11"/>
  <c r="I2" i="11"/>
  <c r="J2" i="11"/>
  <c r="K2" i="11"/>
  <c r="L2" i="11"/>
  <c r="B2" i="11"/>
  <c r="C1" i="11"/>
  <c r="D1" i="11"/>
  <c r="E1" i="11"/>
  <c r="F1" i="11"/>
  <c r="G1" i="11"/>
  <c r="H1" i="11"/>
  <c r="I1" i="11"/>
  <c r="J1" i="11"/>
  <c r="K1" i="11"/>
  <c r="L1" i="11"/>
  <c r="B1" i="11"/>
  <c r="J6" i="11" l="1"/>
  <c r="F6" i="11"/>
  <c r="B6" i="11"/>
  <c r="I6" i="11"/>
  <c r="E6" i="11"/>
  <c r="L6" i="11"/>
  <c r="H6" i="11"/>
  <c r="D6" i="11"/>
  <c r="K7" i="11"/>
  <c r="K9" i="11" s="1"/>
  <c r="C7" i="11"/>
  <c r="J7" i="11"/>
  <c r="J10" i="11" s="1"/>
  <c r="F7" i="11"/>
  <c r="F10" i="11" s="1"/>
  <c r="G7" i="11"/>
  <c r="G10" i="11" s="1"/>
  <c r="C10" i="11"/>
  <c r="C8" i="11"/>
  <c r="D9" i="11"/>
  <c r="D8" i="11"/>
  <c r="L9" i="11"/>
  <c r="L8" i="11"/>
  <c r="H9" i="11"/>
  <c r="H8" i="11"/>
  <c r="B7" i="11"/>
  <c r="B9" i="11" s="1"/>
  <c r="I7" i="11"/>
  <c r="I9" i="11" s="1"/>
  <c r="E7" i="11"/>
  <c r="E9" i="11" s="1"/>
  <c r="C9" i="11"/>
  <c r="L10" i="11"/>
  <c r="L11" i="11" s="1"/>
  <c r="H10" i="11"/>
  <c r="D10" i="11"/>
  <c r="D11" i="11" s="1"/>
  <c r="G12" i="10"/>
  <c r="H12" i="10" s="1"/>
  <c r="G11" i="10"/>
  <c r="H11" i="10" s="1"/>
  <c r="G10" i="10"/>
  <c r="H10" i="10" s="1"/>
  <c r="G9" i="10"/>
  <c r="H9" i="10" s="1"/>
  <c r="G8" i="10"/>
  <c r="H8" i="10" s="1"/>
  <c r="G7" i="10"/>
  <c r="H7" i="10" s="1"/>
  <c r="G6" i="10"/>
  <c r="H6" i="10" s="1"/>
  <c r="B6" i="10"/>
  <c r="G5" i="10"/>
  <c r="H5" i="10" s="1"/>
  <c r="B5" i="10"/>
  <c r="G4" i="10"/>
  <c r="H4" i="10" s="1"/>
  <c r="G3" i="10"/>
  <c r="H3" i="10" s="1"/>
  <c r="B3" i="10"/>
  <c r="G2" i="10"/>
  <c r="H2" i="10" s="1"/>
  <c r="AD12" i="9"/>
  <c r="AA12" i="9"/>
  <c r="Y12" i="9"/>
  <c r="Z12" i="9" s="1"/>
  <c r="AB12" i="9" s="1"/>
  <c r="V12" i="9"/>
  <c r="W12" i="9" s="1"/>
  <c r="U12" i="9"/>
  <c r="T12" i="9"/>
  <c r="S12" i="9"/>
  <c r="J12" i="9"/>
  <c r="L12" i="9" s="1"/>
  <c r="H12" i="9"/>
  <c r="I12" i="9" s="1"/>
  <c r="AD11" i="9"/>
  <c r="AA11" i="9"/>
  <c r="Y11" i="9"/>
  <c r="Z11" i="9" s="1"/>
  <c r="AB11" i="9" s="1"/>
  <c r="W11" i="9"/>
  <c r="V11" i="9"/>
  <c r="T11" i="9"/>
  <c r="U11" i="9" s="1"/>
  <c r="S11" i="9"/>
  <c r="J11" i="9"/>
  <c r="L11" i="9" s="1"/>
  <c r="H11" i="9"/>
  <c r="I11" i="9" s="1"/>
  <c r="AD10" i="9"/>
  <c r="AA10" i="9"/>
  <c r="Y10" i="9"/>
  <c r="Z10" i="9" s="1"/>
  <c r="AB10" i="9" s="1"/>
  <c r="V10" i="9"/>
  <c r="W10" i="9" s="1"/>
  <c r="U10" i="9"/>
  <c r="T10" i="9"/>
  <c r="S10" i="9"/>
  <c r="J10" i="9"/>
  <c r="L10" i="9" s="1"/>
  <c r="H10" i="9"/>
  <c r="I10" i="9" s="1"/>
  <c r="AD9" i="9"/>
  <c r="AA9" i="9"/>
  <c r="Y9" i="9"/>
  <c r="Z9" i="9" s="1"/>
  <c r="AB9" i="9" s="1"/>
  <c r="W9" i="9"/>
  <c r="V9" i="9"/>
  <c r="T9" i="9"/>
  <c r="U9" i="9" s="1"/>
  <c r="S9" i="9"/>
  <c r="J9" i="9"/>
  <c r="L9" i="9" s="1"/>
  <c r="H9" i="9"/>
  <c r="I9" i="9" s="1"/>
  <c r="AD8" i="9"/>
  <c r="AA8" i="9"/>
  <c r="Y8" i="9"/>
  <c r="Z8" i="9" s="1"/>
  <c r="AB8" i="9" s="1"/>
  <c r="V8" i="9"/>
  <c r="W8" i="9" s="1"/>
  <c r="U8" i="9"/>
  <c r="T8" i="9"/>
  <c r="S8" i="9"/>
  <c r="J8" i="9"/>
  <c r="L8" i="9" s="1"/>
  <c r="H8" i="9"/>
  <c r="I8" i="9" s="1"/>
  <c r="AD7" i="9"/>
  <c r="AA7" i="9"/>
  <c r="Y7" i="9"/>
  <c r="Z7" i="9" s="1"/>
  <c r="AB7" i="9" s="1"/>
  <c r="W7" i="9"/>
  <c r="V7" i="9"/>
  <c r="T7" i="9"/>
  <c r="U7" i="9" s="1"/>
  <c r="S7" i="9"/>
  <c r="J7" i="9"/>
  <c r="L7" i="9" s="1"/>
  <c r="H7" i="9"/>
  <c r="I7" i="9" s="1"/>
  <c r="AD6" i="9"/>
  <c r="AA6" i="9"/>
  <c r="Y6" i="9"/>
  <c r="Z6" i="9" s="1"/>
  <c r="AB6" i="9" s="1"/>
  <c r="V6" i="9"/>
  <c r="W6" i="9" s="1"/>
  <c r="U6" i="9"/>
  <c r="T6" i="9"/>
  <c r="S6" i="9"/>
  <c r="J6" i="9"/>
  <c r="L6" i="9" s="1"/>
  <c r="H6" i="9"/>
  <c r="I6" i="9" s="1"/>
  <c r="AD5" i="9"/>
  <c r="AA5" i="9"/>
  <c r="Y5" i="9"/>
  <c r="Z5" i="9" s="1"/>
  <c r="AB5" i="9" s="1"/>
  <c r="W5" i="9"/>
  <c r="V5" i="9"/>
  <c r="T5" i="9"/>
  <c r="U5" i="9" s="1"/>
  <c r="S5" i="9"/>
  <c r="J5" i="9"/>
  <c r="L5" i="9" s="1"/>
  <c r="H5" i="9"/>
  <c r="I5" i="9" s="1"/>
  <c r="AD4" i="9"/>
  <c r="AA4" i="9"/>
  <c r="Y4" i="9"/>
  <c r="Z4" i="9" s="1"/>
  <c r="AB4" i="9" s="1"/>
  <c r="V4" i="9"/>
  <c r="W4" i="9" s="1"/>
  <c r="U4" i="9"/>
  <c r="T4" i="9"/>
  <c r="S4" i="9"/>
  <c r="J4" i="9"/>
  <c r="L4" i="9" s="1"/>
  <c r="H4" i="9"/>
  <c r="I4" i="9" s="1"/>
  <c r="AD3" i="9"/>
  <c r="AA3" i="9"/>
  <c r="Y3" i="9"/>
  <c r="Z3" i="9" s="1"/>
  <c r="AB3" i="9" s="1"/>
  <c r="W3" i="9"/>
  <c r="V3" i="9"/>
  <c r="T3" i="9"/>
  <c r="U3" i="9" s="1"/>
  <c r="S3" i="9"/>
  <c r="J3" i="9"/>
  <c r="L3" i="9" s="1"/>
  <c r="H3" i="9"/>
  <c r="I3" i="9" s="1"/>
  <c r="AD2" i="9"/>
  <c r="B4" i="10"/>
  <c r="Y2" i="9"/>
  <c r="Z2" i="9" s="1"/>
  <c r="AB2" i="9" s="1"/>
  <c r="V2" i="9"/>
  <c r="W2" i="9" s="1"/>
  <c r="U2" i="9"/>
  <c r="T2" i="9"/>
  <c r="S2" i="9"/>
  <c r="J2" i="9"/>
  <c r="L2" i="9" s="1"/>
  <c r="H2" i="9"/>
  <c r="I2" i="9" s="1"/>
  <c r="B7" i="10" l="1"/>
  <c r="B23" i="10" s="1"/>
  <c r="C23" i="10" s="1"/>
  <c r="B20" i="10"/>
  <c r="C20" i="10" s="1"/>
  <c r="J8" i="11"/>
  <c r="J9" i="11"/>
  <c r="K10" i="11"/>
  <c r="K11" i="11" s="1"/>
  <c r="F9" i="11"/>
  <c r="F11" i="11" s="1"/>
  <c r="F8" i="11"/>
  <c r="G8" i="11"/>
  <c r="K8" i="11"/>
  <c r="G9" i="11"/>
  <c r="E10" i="11"/>
  <c r="E11" i="11" s="1"/>
  <c r="E8" i="11"/>
  <c r="I10" i="11"/>
  <c r="I11" i="11" s="1"/>
  <c r="I8" i="11"/>
  <c r="B10" i="11"/>
  <c r="B11" i="11" s="1"/>
  <c r="B8" i="11"/>
  <c r="C3" i="10"/>
  <c r="AC3" i="9"/>
  <c r="AE3" i="9" s="1"/>
  <c r="AF3" i="9" s="1"/>
  <c r="AG3" i="9" s="1"/>
  <c r="AC5" i="9"/>
  <c r="AE5" i="9" s="1"/>
  <c r="AF5" i="9" s="1"/>
  <c r="AG5" i="9" s="1"/>
  <c r="AC11" i="9"/>
  <c r="AE11" i="9" s="1"/>
  <c r="AF11" i="9" s="1"/>
  <c r="AG11" i="9" s="1"/>
  <c r="C4" i="10"/>
  <c r="AC7" i="9"/>
  <c r="AE7" i="9" s="1"/>
  <c r="AF7" i="9" s="1"/>
  <c r="AG7" i="9" s="1"/>
  <c r="AC9" i="9"/>
  <c r="AE9" i="9" s="1"/>
  <c r="AF9" i="9" s="1"/>
  <c r="AG9" i="9" s="1"/>
  <c r="AC2" i="9"/>
  <c r="AE2" i="9" s="1"/>
  <c r="AF2" i="9" s="1"/>
  <c r="AG2" i="9" s="1"/>
  <c r="AC4" i="9"/>
  <c r="AE4" i="9" s="1"/>
  <c r="AF4" i="9" s="1"/>
  <c r="AG4" i="9" s="1"/>
  <c r="AC6" i="9"/>
  <c r="AE6" i="9" s="1"/>
  <c r="AF6" i="9" s="1"/>
  <c r="AG6" i="9" s="1"/>
  <c r="AC8" i="9"/>
  <c r="AE8" i="9" s="1"/>
  <c r="AF8" i="9" s="1"/>
  <c r="AG8" i="9" s="1"/>
  <c r="AC10" i="9"/>
  <c r="AE10" i="9" s="1"/>
  <c r="AF10" i="9" s="1"/>
  <c r="AG10" i="9" s="1"/>
  <c r="AC12" i="9"/>
  <c r="AE12" i="9" s="1"/>
  <c r="AF12" i="9" s="1"/>
  <c r="AG12" i="9" s="1"/>
  <c r="C5" i="10" l="1"/>
  <c r="C7" i="10" s="1"/>
  <c r="C8" i="10" s="1"/>
  <c r="N168" i="1"/>
  <c r="N165" i="1"/>
  <c r="A58" i="2"/>
  <c r="A57" i="2"/>
  <c r="A56" i="2"/>
  <c r="A55" i="2"/>
  <c r="A54" i="2"/>
  <c r="A48" i="2"/>
  <c r="A47" i="2"/>
  <c r="A46" i="2"/>
  <c r="A45" i="2"/>
  <c r="A44" i="2"/>
  <c r="A53" i="2"/>
  <c r="A43" i="2"/>
  <c r="C51" i="2"/>
  <c r="C41" i="2"/>
  <c r="N29" i="1"/>
  <c r="D14" i="1"/>
  <c r="D13" i="1" s="1"/>
  <c r="D12" i="1" s="1"/>
  <c r="D11" i="1" s="1"/>
  <c r="D10" i="1" s="1"/>
  <c r="D9" i="1" s="1"/>
  <c r="D8" i="1" s="1"/>
  <c r="D7" i="1" s="1"/>
  <c r="D6" i="1" s="1"/>
  <c r="D5" i="1" s="1"/>
  <c r="E14" i="1"/>
  <c r="E13" i="1" s="1"/>
  <c r="E12" i="1" s="1"/>
  <c r="E11" i="1" s="1"/>
  <c r="E10" i="1" s="1"/>
  <c r="E9" i="1" s="1"/>
  <c r="E8" i="1" s="1"/>
  <c r="E7" i="1" s="1"/>
  <c r="E6" i="1" s="1"/>
  <c r="E5" i="1" s="1"/>
  <c r="F14" i="1"/>
  <c r="F13" i="1" s="1"/>
  <c r="F12" i="1" s="1"/>
  <c r="F11" i="1" s="1"/>
  <c r="F10" i="1" s="1"/>
  <c r="F9" i="1" s="1"/>
  <c r="F8" i="1" s="1"/>
  <c r="F7" i="1" s="1"/>
  <c r="F6" i="1" s="1"/>
  <c r="F5" i="1" s="1"/>
  <c r="G14" i="1"/>
  <c r="G13" i="1" s="1"/>
  <c r="G12" i="1" s="1"/>
  <c r="G11" i="1" s="1"/>
  <c r="G10" i="1" s="1"/>
  <c r="G9" i="1" s="1"/>
  <c r="G8" i="1" s="1"/>
  <c r="G7" i="1" s="1"/>
  <c r="G6" i="1" s="1"/>
  <c r="G5" i="1" s="1"/>
  <c r="H14" i="1"/>
  <c r="H13" i="1" s="1"/>
  <c r="H12" i="1" s="1"/>
  <c r="H11" i="1" s="1"/>
  <c r="H10" i="1" s="1"/>
  <c r="H9" i="1" s="1"/>
  <c r="H8" i="1" s="1"/>
  <c r="H7" i="1" s="1"/>
  <c r="H6" i="1" s="1"/>
  <c r="H5" i="1" s="1"/>
  <c r="I14" i="1"/>
  <c r="I13" i="1" s="1"/>
  <c r="I12" i="1" s="1"/>
  <c r="I11" i="1" s="1"/>
  <c r="I10" i="1" s="1"/>
  <c r="I9" i="1" s="1"/>
  <c r="I8" i="1" s="1"/>
  <c r="I7" i="1" s="1"/>
  <c r="I6" i="1" s="1"/>
  <c r="I5" i="1" s="1"/>
  <c r="J14" i="1"/>
  <c r="J13" i="1" s="1"/>
  <c r="J12" i="1" s="1"/>
  <c r="J11" i="1" s="1"/>
  <c r="J10" i="1" s="1"/>
  <c r="J9" i="1" s="1"/>
  <c r="J8" i="1" s="1"/>
  <c r="J7" i="1" s="1"/>
  <c r="J6" i="1" s="1"/>
  <c r="J5" i="1" s="1"/>
  <c r="K14" i="1"/>
  <c r="K13" i="1" s="1"/>
  <c r="K12" i="1" s="1"/>
  <c r="K11" i="1" s="1"/>
  <c r="K10" i="1" s="1"/>
  <c r="K9" i="1" s="1"/>
  <c r="K8" i="1" s="1"/>
  <c r="K7" i="1" s="1"/>
  <c r="K6" i="1" s="1"/>
  <c r="K5" i="1" s="1"/>
  <c r="L14" i="1"/>
  <c r="L13" i="1" s="1"/>
  <c r="L12" i="1" s="1"/>
  <c r="L11" i="1" s="1"/>
  <c r="L10" i="1" s="1"/>
  <c r="L9" i="1" s="1"/>
  <c r="L8" i="1" s="1"/>
  <c r="L7" i="1" s="1"/>
  <c r="L6" i="1" s="1"/>
  <c r="L5" i="1" s="1"/>
  <c r="M13" i="1"/>
  <c r="M12" i="1" s="1"/>
  <c r="M11" i="1" s="1"/>
  <c r="M10" i="1" s="1"/>
  <c r="M9" i="1" s="1"/>
  <c r="M8" i="1" s="1"/>
  <c r="M7" i="1" s="1"/>
  <c r="M6" i="1" s="1"/>
  <c r="M5" i="1" s="1"/>
  <c r="C14" i="1"/>
  <c r="C13" i="1" s="1"/>
  <c r="C12" i="1" s="1"/>
  <c r="C11" i="1" s="1"/>
  <c r="C10" i="1" s="1"/>
  <c r="C9" i="1" s="1"/>
  <c r="C8" i="1" s="1"/>
  <c r="C7" i="1" s="1"/>
  <c r="C6" i="1" s="1"/>
  <c r="C5" i="1" s="1"/>
  <c r="N5" i="1" l="1"/>
  <c r="O5" i="1" s="1"/>
  <c r="N11" i="1"/>
  <c r="O11" i="1" s="1"/>
  <c r="N7" i="1"/>
  <c r="O7" i="1" s="1"/>
  <c r="N13" i="1"/>
  <c r="O13" i="1" s="1"/>
  <c r="N9" i="1"/>
  <c r="O9" i="1" s="1"/>
  <c r="N12" i="1"/>
  <c r="O12" i="1" s="1"/>
  <c r="N8" i="1"/>
  <c r="O8" i="1" s="1"/>
  <c r="N14" i="1"/>
  <c r="O14" i="1" s="1"/>
  <c r="N10" i="1"/>
  <c r="O10" i="1" s="1"/>
  <c r="N6" i="1"/>
  <c r="O6" i="1" s="1"/>
  <c r="N95" i="1"/>
  <c r="A17" i="8"/>
  <c r="A16" i="8"/>
  <c r="C5" i="8"/>
  <c r="D5" i="8"/>
  <c r="D8" i="8"/>
  <c r="D9" i="8"/>
  <c r="E5" i="8"/>
  <c r="F5" i="8"/>
  <c r="G5" i="8"/>
  <c r="H5" i="8"/>
  <c r="H8" i="8"/>
  <c r="H9" i="8"/>
  <c r="I5" i="8"/>
  <c r="J5" i="8"/>
  <c r="K5" i="8"/>
  <c r="L5" i="8"/>
  <c r="L8" i="8"/>
  <c r="L9" i="8"/>
  <c r="C6" i="8"/>
  <c r="D6" i="8"/>
  <c r="E6" i="8"/>
  <c r="F6" i="8"/>
  <c r="F7" i="8"/>
  <c r="G6" i="8"/>
  <c r="H6" i="8"/>
  <c r="I6" i="8"/>
  <c r="J6" i="8"/>
  <c r="J7" i="8"/>
  <c r="K6" i="8"/>
  <c r="L6" i="8"/>
  <c r="N103" i="1"/>
  <c r="M6" i="8" s="1"/>
  <c r="C7" i="8"/>
  <c r="D7" i="8"/>
  <c r="E7" i="8"/>
  <c r="G7" i="8"/>
  <c r="H7" i="8"/>
  <c r="I7" i="8"/>
  <c r="K7" i="8"/>
  <c r="L7" i="8"/>
  <c r="C8" i="8"/>
  <c r="E8" i="8"/>
  <c r="F8" i="8"/>
  <c r="G8" i="8"/>
  <c r="I8" i="8"/>
  <c r="J8" i="8"/>
  <c r="K8" i="8"/>
  <c r="C9" i="8"/>
  <c r="E9" i="8"/>
  <c r="F9" i="8"/>
  <c r="G9" i="8"/>
  <c r="I9" i="8"/>
  <c r="J9" i="8"/>
  <c r="K9" i="8"/>
  <c r="B6" i="8"/>
  <c r="B7" i="8"/>
  <c r="B8" i="8"/>
  <c r="B9" i="8"/>
  <c r="B5" i="8"/>
  <c r="C4" i="8"/>
  <c r="D4" i="8"/>
  <c r="E4" i="8"/>
  <c r="F4" i="8"/>
  <c r="G4" i="8"/>
  <c r="H4" i="8"/>
  <c r="I4" i="8"/>
  <c r="J4" i="8"/>
  <c r="K4" i="8"/>
  <c r="L4" i="8"/>
  <c r="M4" i="8"/>
  <c r="B4" i="8"/>
  <c r="A6" i="8"/>
  <c r="A7" i="8"/>
  <c r="A8" i="8"/>
  <c r="A9" i="8"/>
  <c r="A5" i="8"/>
  <c r="N16" i="1"/>
  <c r="N17" i="1"/>
  <c r="N18" i="1"/>
  <c r="N24" i="1"/>
  <c r="O24" i="1" s="1"/>
  <c r="N19" i="1"/>
  <c r="N20" i="1"/>
  <c r="N21" i="1"/>
  <c r="N22" i="1"/>
  <c r="N23" i="1"/>
  <c r="O23" i="1" s="1"/>
  <c r="N15" i="1"/>
  <c r="N99" i="1"/>
  <c r="N100" i="1"/>
  <c r="D154" i="1"/>
  <c r="E154" i="1"/>
  <c r="F154" i="1"/>
  <c r="H154" i="1"/>
  <c r="J154" i="1"/>
  <c r="L154" i="1"/>
  <c r="M154" i="1"/>
  <c r="C154" i="1"/>
  <c r="D135" i="1"/>
  <c r="E135" i="1"/>
  <c r="F135" i="1"/>
  <c r="H135" i="1"/>
  <c r="I135" i="1"/>
  <c r="J135" i="1"/>
  <c r="L135" i="1"/>
  <c r="M135" i="1"/>
  <c r="C135" i="1"/>
  <c r="N26" i="1"/>
  <c r="N25" i="1"/>
  <c r="N4" i="1"/>
  <c r="N96" i="1"/>
  <c r="N97" i="1"/>
  <c r="N98" i="1"/>
  <c r="N101" i="1"/>
  <c r="N102" i="1"/>
  <c r="M5" i="8" s="1"/>
  <c r="N104" i="1"/>
  <c r="M7" i="8" s="1"/>
  <c r="N105" i="1"/>
  <c r="M8" i="8" s="1"/>
  <c r="N106" i="1"/>
  <c r="M9" i="8" s="1"/>
  <c r="N107" i="1"/>
  <c r="N108" i="1"/>
  <c r="S108" i="1" s="1"/>
  <c r="N109" i="1"/>
  <c r="S109" i="1" s="1"/>
  <c r="N110" i="1"/>
  <c r="N111" i="1"/>
  <c r="N94" i="1"/>
  <c r="N74" i="1"/>
  <c r="N75" i="1"/>
  <c r="N76" i="1"/>
  <c r="N77" i="1"/>
  <c r="N78" i="1"/>
  <c r="N79" i="1"/>
  <c r="N80" i="1"/>
  <c r="N81" i="1"/>
  <c r="N82" i="1"/>
  <c r="N83" i="1"/>
  <c r="N84" i="1"/>
  <c r="N85" i="1"/>
  <c r="N86" i="1"/>
  <c r="N87" i="1"/>
  <c r="N88" i="1"/>
  <c r="N89" i="1"/>
  <c r="N90" i="1"/>
  <c r="N91" i="1"/>
  <c r="N92" i="1"/>
  <c r="N73" i="1"/>
  <c r="N54" i="1"/>
  <c r="N55" i="1"/>
  <c r="N56" i="1"/>
  <c r="N57" i="1"/>
  <c r="N58" i="1"/>
  <c r="N59" i="1"/>
  <c r="N60" i="1"/>
  <c r="N61" i="1"/>
  <c r="N62" i="1"/>
  <c r="N63" i="1"/>
  <c r="N64" i="1"/>
  <c r="N65" i="1"/>
  <c r="N66" i="1"/>
  <c r="N67" i="1"/>
  <c r="N68" i="1"/>
  <c r="N69" i="1"/>
  <c r="N70" i="1"/>
  <c r="N71" i="1"/>
  <c r="N53" i="1"/>
  <c r="N28" i="1"/>
  <c r="N30" i="1"/>
  <c r="N31" i="1"/>
  <c r="N32" i="1"/>
  <c r="N33" i="1"/>
  <c r="N34" i="1"/>
  <c r="N35" i="1"/>
  <c r="N36" i="1"/>
  <c r="N37" i="1"/>
  <c r="N38" i="1"/>
  <c r="N39" i="1"/>
  <c r="N40" i="1"/>
  <c r="N41" i="1"/>
  <c r="N42" i="1"/>
  <c r="N43" i="1"/>
  <c r="N44" i="1"/>
  <c r="N45" i="1"/>
  <c r="N46" i="1"/>
  <c r="N47" i="1"/>
  <c r="N48" i="1"/>
  <c r="N49" i="1"/>
  <c r="N50" i="1"/>
  <c r="N51" i="1"/>
  <c r="C52" i="2" l="1"/>
  <c r="C53" i="2" s="1"/>
  <c r="O21" i="1"/>
  <c r="E13" i="8"/>
  <c r="C13" i="8"/>
  <c r="B52" i="2"/>
  <c r="B42" i="2"/>
  <c r="N154" i="1"/>
  <c r="B56" i="2"/>
  <c r="C56" i="2" s="1"/>
  <c r="B46" i="2"/>
  <c r="C46" i="2" s="1"/>
  <c r="B43" i="2"/>
  <c r="B53" i="2"/>
  <c r="B48" i="2"/>
  <c r="C48" i="2" s="1"/>
  <c r="B58" i="2"/>
  <c r="C58" i="2" s="1"/>
  <c r="B57" i="2"/>
  <c r="C57" i="2" s="1"/>
  <c r="B47" i="2"/>
  <c r="C47" i="2" s="1"/>
  <c r="B45" i="2"/>
  <c r="C45" i="2" s="1"/>
  <c r="B55" i="2"/>
  <c r="C55" i="2" s="1"/>
  <c r="B54" i="2"/>
  <c r="C54" i="2" s="1"/>
  <c r="B44" i="2"/>
  <c r="C44" i="2" s="1"/>
  <c r="G12" i="8"/>
  <c r="G16" i="8" s="1"/>
  <c r="N135" i="1"/>
  <c r="O22" i="1"/>
  <c r="F13" i="8"/>
  <c r="L12" i="8"/>
  <c r="L16" i="8" s="1"/>
  <c r="D12" i="8"/>
  <c r="D16" i="8" s="1"/>
  <c r="I12" i="8"/>
  <c r="I16" i="8" s="1"/>
  <c r="C12" i="8"/>
  <c r="C16" i="8" s="1"/>
  <c r="G13" i="8"/>
  <c r="I13" i="8"/>
  <c r="M12" i="8"/>
  <c r="M16" i="8" s="1"/>
  <c r="M13" i="8"/>
  <c r="K13" i="8"/>
  <c r="H13" i="8"/>
  <c r="D13" i="8"/>
  <c r="J13" i="8"/>
  <c r="H12" i="8"/>
  <c r="H18" i="8" s="1"/>
  <c r="F12" i="8"/>
  <c r="F16" i="8" s="1"/>
  <c r="J12" i="8"/>
  <c r="J16" i="8" s="1"/>
  <c r="K12" i="8"/>
  <c r="K16" i="8" s="1"/>
  <c r="E12" i="8"/>
  <c r="E16" i="8" s="1"/>
  <c r="L13" i="8"/>
  <c r="J18" i="8" l="1"/>
  <c r="G18" i="8"/>
  <c r="B16" i="8"/>
  <c r="B18" i="8"/>
  <c r="B59" i="2"/>
  <c r="C49" i="2"/>
  <c r="C59" i="2"/>
  <c r="B49" i="2"/>
  <c r="L18" i="8"/>
  <c r="H16" i="8"/>
  <c r="C18" i="8"/>
  <c r="M18" i="8"/>
  <c r="D18" i="8"/>
  <c r="I18" i="8"/>
  <c r="E18" i="8"/>
  <c r="K18" i="8"/>
  <c r="F18" i="8"/>
</calcChain>
</file>

<file path=xl/comments1.xml><?xml version="1.0" encoding="utf-8"?>
<comments xmlns="http://schemas.openxmlformats.org/spreadsheetml/2006/main">
  <authors>
    <author>Bernhard Neyer</author>
  </authors>
  <commentList>
    <comment ref="A11" authorId="0">
      <text>
        <r>
          <rPr>
            <sz val="9"/>
            <color indexed="81"/>
            <rFont val="Segoe UI"/>
            <family val="2"/>
          </rPr>
          <t xml:space="preserve">Faktoren
In Anlehnung an die Berechnung der Entschuldungsbeiträge des Kantons für die politischen Gemeinden (§ 44 der Gemeindeverordnung vom 29. Juni 2016) sollen die Faktoren «Nettoschuld pro Mitglied», «Anzahl Mitglieder der Kirchgemeinde» sowie ein unterer Grenzwert der Entschuldung die Basis für die Berechnung eines Entschuldungsbeitrags bilden.
</t>
        </r>
        <r>
          <rPr>
            <i/>
            <sz val="9"/>
            <color indexed="81"/>
            <rFont val="Segoe UI"/>
            <family val="2"/>
          </rPr>
          <t xml:space="preserve">Nettoschuld pro Mitglied: </t>
        </r>
        <r>
          <rPr>
            <sz val="9"/>
            <color indexed="81"/>
            <rFont val="Segoe UI"/>
            <family val="2"/>
          </rPr>
          <t xml:space="preserve">Die Berechnung des Nettovermögens (bzw. der Nettoschuld) erfolgt nach der Formel «Fremdkapital (Kontengruppe 20; Artengliederung der Bestandesrechnung; Handbuch Rechnungswesen der zürcherischen Gemeinden) minus Finanzvermögen (Kontengruppe 10)» dividiert durch Anzahl Mitglieder. Die Zahlen werden der abgeschlossenen Rechnung des Geschäftsjahres 2015 entnommen. Für die hierfür massgebende Mitgliederzahl per Ende 2015 gelten die Angaben des Statistischen Amtes des Kantons Zürich.
</t>
        </r>
        <r>
          <rPr>
            <i/>
            <sz val="9"/>
            <color indexed="81"/>
            <rFont val="Segoe UI"/>
            <family val="2"/>
          </rPr>
          <t xml:space="preserve">Anzahl Mitglieder der Kirchgemeinde: </t>
        </r>
        <r>
          <rPr>
            <sz val="9"/>
            <color indexed="81"/>
            <rFont val="Segoe UI"/>
            <family val="2"/>
          </rPr>
          <t xml:space="preserve">Es wird abgestellt auf die Mitgliederzahlen des Statistischen Amtes, die jeweils per Ende Dezember erhoben werden. 
Kirchgemeinden mit mehr als 3'000 Mitgliedern haben keinen Anspruch auf einen Entschuldungsbeitrag. Für Kirchgemeinden mit einer Mitgliederzahl zwischen 2'000 und 3'000 gilt ein abgestufter Beitrag nach der Formel «Entschuldungsbeitrag multipliziert mit (3'000 minus Mitgliederbestand) dividiert durch 2'000».
</t>
        </r>
        <r>
          <rPr>
            <i/>
            <sz val="9"/>
            <color indexed="81"/>
            <rFont val="Segoe UI"/>
            <family val="2"/>
          </rPr>
          <t xml:space="preserve">Teilentschuldung: </t>
        </r>
        <r>
          <rPr>
            <sz val="9"/>
            <color indexed="81"/>
            <rFont val="Segoe UI"/>
            <family val="2"/>
          </rPr>
          <t xml:space="preserve">Die Entschuldungsbeiträge werden so berechnet, dass nicht die Gesamtschuld getilgt wird, sondern eine Nettoschuld pro Mitglied von 200 Franken belassen wird (unterer Grenzwert). Diese Grösse entspricht in etwa
dem Mittelwert der Nettoschuld der Finanzausgleichsgemeinden von 196 Franken per Ende 2015.
</t>
        </r>
        <r>
          <rPr>
            <i/>
            <sz val="9"/>
            <color indexed="81"/>
            <rFont val="Segoe UI"/>
            <family val="2"/>
          </rPr>
          <t xml:space="preserve">Steuerfuss und Finanzausgleichsbedarf: </t>
        </r>
        <r>
          <rPr>
            <sz val="9"/>
            <color indexed="81"/>
            <rFont val="Segoe UI"/>
            <family val="2"/>
          </rPr>
          <t xml:space="preserve">Anrecht auf Entschuldungsbeiträge haben nur Kirchgemeinden, die in den Jahren 2013–2015 einen Steuerfuss von mindestens 14% aufwiesen und die Finanzausgleichsbeiträge ausgerichtet erhielten.
</t>
        </r>
      </text>
    </comment>
    <comment ref="A12" authorId="0">
      <text>
        <r>
          <rPr>
            <sz val="9"/>
            <color indexed="81"/>
            <rFont val="Segoe UI"/>
            <family val="2"/>
          </rPr>
          <t xml:space="preserve">Faktoren
In Anlehnung an die Berechnung der Entschuldungsbeiträge des Kantons für die politischen Gemeinden (§ 44 der Gemeindeverordnung vom 29. Juni 2016) sollen die Faktoren «Nettoschuld pro Mitglied», «Anzahl Mitglieder der Kirchgemeinde» sowie ein unterer Grenzwert der Entschuldung die Basis für die Berechnung eines Entschuldungsbeitrags bilden.
</t>
        </r>
        <r>
          <rPr>
            <i/>
            <sz val="9"/>
            <color indexed="81"/>
            <rFont val="Segoe UI"/>
            <family val="2"/>
          </rPr>
          <t xml:space="preserve">Nettoschuld pro Mitglied: </t>
        </r>
        <r>
          <rPr>
            <sz val="9"/>
            <color indexed="81"/>
            <rFont val="Segoe UI"/>
            <family val="2"/>
          </rPr>
          <t xml:space="preserve">Die Berechnung des Nettovermögens (bzw. der Nettoschuld) erfolgt nach der Formel «Fremdkapital (Kontengruppe 20; Artengliederung der Bestandesrechnung; Handbuch Rechnungswesen der zürcherischen Gemeinden) minus Finanzvermögen (Kontengruppe 10)» dividiert durch Anzahl Mitglieder. Die Zahlen werden der abgeschlossenen Rechnung des Geschäftsjahres 2015 entnommen. Für die hierfür massgebende Mitgliederzahl per Ende 2015 gelten die Angaben des Statistischen Amtes des Kantons Zürich.
</t>
        </r>
        <r>
          <rPr>
            <i/>
            <sz val="9"/>
            <color indexed="81"/>
            <rFont val="Segoe UI"/>
            <family val="2"/>
          </rPr>
          <t xml:space="preserve">Anzahl Mitglieder der Kirchgemeinde: </t>
        </r>
        <r>
          <rPr>
            <sz val="9"/>
            <color indexed="81"/>
            <rFont val="Segoe UI"/>
            <family val="2"/>
          </rPr>
          <t xml:space="preserve">Es wird abgestellt auf die Mitgliederzahlen des Statistischen Amtes, die jeweils per Ende Dezember erhoben werden. 
Kirchgemeinden mit mehr als 3'000 Mitgliedern haben keinen Anspruch auf einen Entschuldungsbeitrag. Für Kirchgemeinden mit einer Mitgliederzahl zwischen 2'000 und 3'000 gilt ein abgestufter Beitrag nach der Formel «Entschuldungsbeitrag multipliziert mit (3'000 minus Mitgliederbestand) dividiert durch 2'000».
</t>
        </r>
        <r>
          <rPr>
            <i/>
            <sz val="9"/>
            <color indexed="81"/>
            <rFont val="Segoe UI"/>
            <family val="2"/>
          </rPr>
          <t xml:space="preserve">Teilentschuldung: </t>
        </r>
        <r>
          <rPr>
            <sz val="9"/>
            <color indexed="81"/>
            <rFont val="Segoe UI"/>
            <family val="2"/>
          </rPr>
          <t xml:space="preserve">Die Entschuldungsbeiträge werden so berechnet, dass nicht die Gesamtschuld getilgt wird, sondern eine Nettoschuld pro Mitglied von 200 Franken belassen wird (unterer Grenzwert). Diese Grösse entspricht in etwa
dem Mittelwert der Nettoschuld der Finanzausgleichsgemeinden von 196 Franken per Ende 2015.
</t>
        </r>
        <r>
          <rPr>
            <i/>
            <sz val="9"/>
            <color indexed="81"/>
            <rFont val="Segoe UI"/>
            <family val="2"/>
          </rPr>
          <t xml:space="preserve">Steuerfuss und Finanzausgleichsbedarf: </t>
        </r>
        <r>
          <rPr>
            <sz val="9"/>
            <color indexed="81"/>
            <rFont val="Segoe UI"/>
            <family val="2"/>
          </rPr>
          <t xml:space="preserve">Anrecht auf Entschuldungsbeiträge haben nur Kirchgemeinden, die in den Jahren 2013–2015 einen Steuerfuss von mindestens 14% aufwiesen und die Finanzausgleichsbeiträge ausgerichtet erhielten.
</t>
        </r>
      </text>
    </comment>
  </commentList>
</comments>
</file>

<file path=xl/comments2.xml><?xml version="1.0" encoding="utf-8"?>
<comments xmlns="http://schemas.openxmlformats.org/spreadsheetml/2006/main">
  <authors>
    <author>Bernhard Neyer</author>
  </authors>
  <commentList>
    <comment ref="O1" authorId="0">
      <text>
        <r>
          <rPr>
            <b/>
            <sz val="9"/>
            <color indexed="81"/>
            <rFont val="Segoe UI"/>
            <family val="2"/>
          </rPr>
          <t>Ab Fr. 45.-/Kopf</t>
        </r>
        <r>
          <rPr>
            <sz val="9"/>
            <color indexed="81"/>
            <rFont val="Segoe UI"/>
            <family val="2"/>
          </rPr>
          <t xml:space="preserve">
</t>
        </r>
      </text>
    </comment>
    <comment ref="Q1" authorId="0">
      <text>
        <r>
          <rPr>
            <b/>
            <sz val="9"/>
            <color indexed="81"/>
            <rFont val="Segoe UI"/>
            <family val="2"/>
          </rPr>
          <t>Lohn und Sozialleistungen</t>
        </r>
        <r>
          <rPr>
            <sz val="9"/>
            <color indexed="81"/>
            <rFont val="Segoe UI"/>
            <family val="2"/>
          </rPr>
          <t xml:space="preserve">
</t>
        </r>
      </text>
    </comment>
  </commentList>
</comments>
</file>

<file path=xl/sharedStrings.xml><?xml version="1.0" encoding="utf-8"?>
<sst xmlns="http://schemas.openxmlformats.org/spreadsheetml/2006/main" count="354" uniqueCount="224">
  <si>
    <t>Kirchgemeinde</t>
  </si>
  <si>
    <t>Wetzikon</t>
  </si>
  <si>
    <t>Pfarrstellen in %</t>
  </si>
  <si>
    <t>Pfarrstellen Stellen</t>
  </si>
  <si>
    <t>Sozialdiakonie in %</t>
  </si>
  <si>
    <t>Sozialdiakonie Stellen</t>
  </si>
  <si>
    <t>Sigristen/Hausdienst in %</t>
  </si>
  <si>
    <t>Sigristen/Hausdienst Stellen</t>
  </si>
  <si>
    <t>Kirchenmusik in %</t>
  </si>
  <si>
    <t>Kirchenmusik Stellen</t>
  </si>
  <si>
    <t>Katechetik in %</t>
  </si>
  <si>
    <t>Katechetik Stellen</t>
  </si>
  <si>
    <t>Sekretariat/Verwaltung in %</t>
  </si>
  <si>
    <t>Sekretariat/Verwaltung Stellen</t>
  </si>
  <si>
    <t>Kommunikation</t>
  </si>
  <si>
    <t>Mit/ohne reformiert.</t>
  </si>
  <si>
    <t>Personen (Angaben per  1.11.2015)</t>
  </si>
  <si>
    <t>Ausgaben pro Jahr</t>
  </si>
  <si>
    <t>ca. Anzahl Flyer pro Jahr</t>
  </si>
  <si>
    <t>Kosten Webseite</t>
  </si>
  <si>
    <t>Kosten Socialmedia</t>
  </si>
  <si>
    <t>Kosten Inserate</t>
  </si>
  <si>
    <t>Liegenschaften</t>
  </si>
  <si>
    <t>Anzahl Kirchen</t>
  </si>
  <si>
    <t>Anzah Kirchgemeindehäuser</t>
  </si>
  <si>
    <t>Anzahl Pfarrhäuser</t>
  </si>
  <si>
    <t>Anzahl weitere Liegenschaften</t>
  </si>
  <si>
    <t>Wer führt die Buchhaltung / Lohnbuchhaltung</t>
  </si>
  <si>
    <t>Kosten für Führung der Buchhaltung / Lohnbuchhaltung</t>
  </si>
  <si>
    <t>Finanzen (gemäss Jahresrechnung 2014)</t>
  </si>
  <si>
    <t>Anzahl Buchungen pro Jahr</t>
  </si>
  <si>
    <t>Anzahl Buchhaltungskonti</t>
  </si>
  <si>
    <t>Kostenstellenrechnung (Ja/Nein)</t>
  </si>
  <si>
    <t>Hinwil</t>
  </si>
  <si>
    <t>Grünigen</t>
  </si>
  <si>
    <t>Bäretswil</t>
  </si>
  <si>
    <t>Fischenthal</t>
  </si>
  <si>
    <t>Gossau</t>
  </si>
  <si>
    <t>Bubikon</t>
  </si>
  <si>
    <t>Rüti</t>
  </si>
  <si>
    <t>Seegräben</t>
  </si>
  <si>
    <t>Wald</t>
  </si>
  <si>
    <t>Dürnten</t>
  </si>
  <si>
    <t>Stadt Wetzikon</t>
  </si>
  <si>
    <t>Nein</t>
  </si>
  <si>
    <t>ohne</t>
  </si>
  <si>
    <t>Total</t>
  </si>
  <si>
    <t>Steuerfuss</t>
  </si>
  <si>
    <t>Jun 2010 - Zusatztraktanden</t>
  </si>
  <si>
    <t>Dez 2010 - Zusatztraktanden</t>
  </si>
  <si>
    <t>Jun 2011 - Zusatztraktanden</t>
  </si>
  <si>
    <t>Dez 2011 - Zusatztraktanden</t>
  </si>
  <si>
    <t>Jun 2012 - Zusatztraktanden</t>
  </si>
  <si>
    <t>Jun 2013 - Zusatztraktande</t>
  </si>
  <si>
    <t>Jun 2014 - Zusatztraktanden</t>
  </si>
  <si>
    <t>Jun 2015 - Zusatztraktanden</t>
  </si>
  <si>
    <t>Dez 2015 - Zusatztraktanden</t>
  </si>
  <si>
    <t>Dez 2014 - Zusatztraktanden</t>
  </si>
  <si>
    <t>Dez 2013 - Zusatztraktanden</t>
  </si>
  <si>
    <t>Dez 2012 - Zusatztraktanden</t>
  </si>
  <si>
    <t>Einwohner  2015</t>
  </si>
  <si>
    <t>%-Anteil Reformierte</t>
  </si>
  <si>
    <t>%-Anteil Jugendliche</t>
  </si>
  <si>
    <t>Durchschnittliche Teilnahme der Stimmberechtigten in %</t>
  </si>
  <si>
    <t>Finanzausgleichsgemeinde</t>
  </si>
  <si>
    <t>Ja</t>
  </si>
  <si>
    <t>Anzahl Kapellen</t>
  </si>
  <si>
    <t>Mitglieder Anzahl 2014</t>
  </si>
  <si>
    <t>Mitglieder Anzahl 2013</t>
  </si>
  <si>
    <t>Mitglieder Anzahl 2012</t>
  </si>
  <si>
    <t>Mitglieder Anzahl 2011</t>
  </si>
  <si>
    <t>Mitglieder Anzahl 2010</t>
  </si>
  <si>
    <t>Mitglieder Anzahl 2009</t>
  </si>
  <si>
    <t>Mitglieder Anzahl 2008</t>
  </si>
  <si>
    <t>Mitglieder Anzahl 2007</t>
  </si>
  <si>
    <t>Mitglieder Anzahl 2006</t>
  </si>
  <si>
    <t>in %</t>
  </si>
  <si>
    <t>Gemeinde</t>
  </si>
  <si>
    <t>Abschreibungen</t>
  </si>
  <si>
    <t>Strukturelle Kennzahlen</t>
  </si>
  <si>
    <t>Anzahl Mitglieder Kirchenpflege</t>
  </si>
  <si>
    <t>Anzahl Mitglieder RPK</t>
  </si>
  <si>
    <t>Anzahl Adresse Versand Lokalteil</t>
  </si>
  <si>
    <t>Zentralkassenbeitrag/Liegenschaften/Verwaltung</t>
  </si>
  <si>
    <t>Personal und Gemeindeleben</t>
  </si>
  <si>
    <t>Entspricht in % bei Personal und Gemeindeleben</t>
  </si>
  <si>
    <t>2020 angenommener Mittelrückgang  in %</t>
  </si>
  <si>
    <t>Vermögen: Position 10 (Finanzvermögen)</t>
  </si>
  <si>
    <t>Schulden: Positionen 20 (Fremdkapital), 21 (Verrechnungen) und 2281 (Spezialfonds)</t>
  </si>
  <si>
    <t>Investitionen 2017</t>
  </si>
  <si>
    <t>Investitionen 2018</t>
  </si>
  <si>
    <t>Investitionen 2019</t>
  </si>
  <si>
    <t>Investitionen 2020</t>
  </si>
  <si>
    <t>Investitionen 2021</t>
  </si>
  <si>
    <t>Investitionen 2022</t>
  </si>
  <si>
    <t>Investitionen 2023</t>
  </si>
  <si>
    <t>??</t>
  </si>
  <si>
    <t>-</t>
  </si>
  <si>
    <t>Genmeinde</t>
  </si>
  <si>
    <t>Total Behördenentschädigung (RPK)</t>
  </si>
  <si>
    <t>Anzahl Sitzungen RPK (durchschnittlich)</t>
  </si>
  <si>
    <t>Total Behördenentschädigung Kirchenpflege</t>
  </si>
  <si>
    <t>Anzahl Sitzungen Kirchenpflege (durchschnittlich)</t>
  </si>
  <si>
    <t>"</t>
  </si>
  <si>
    <t xml:space="preserve">KGH in Planung </t>
  </si>
  <si>
    <t>Treuhänder</t>
  </si>
  <si>
    <t>Durchschnittlicher Verlust der letzten 5 Jahre</t>
  </si>
  <si>
    <t>Periode in Jahren</t>
  </si>
  <si>
    <t>Angenommener Rückgang Finanzen % pro Jahr</t>
  </si>
  <si>
    <t>Zweckverband</t>
  </si>
  <si>
    <t>Zusammenschluss</t>
  </si>
  <si>
    <t>Mitglieder</t>
  </si>
  <si>
    <t>Angenommene Quorumsrückgang "Nicht-Zusammenlegung"</t>
  </si>
  <si>
    <t>Total Behördenenschädigungen</t>
  </si>
  <si>
    <t>Total Investitionen 2017 - 2020</t>
  </si>
  <si>
    <t>Total Vermögen</t>
  </si>
  <si>
    <t>Total Schulden</t>
  </si>
  <si>
    <t>Total Abschreibungen</t>
  </si>
  <si>
    <t>Nr.</t>
  </si>
  <si>
    <t>Bezirk</t>
  </si>
  <si>
    <t>Steuersatz 2015</t>
  </si>
  <si>
    <t>Nettosteuerertrag 2015 CHF</t>
  </si>
  <si>
    <t>Mitglieder 31.12.2014</t>
  </si>
  <si>
    <t>Mitglieder 31.12.2015</t>
  </si>
  <si>
    <t>Veränderung Mitglieder</t>
  </si>
  <si>
    <t>Veränderung Mitglieder %</t>
  </si>
  <si>
    <t>Steuerkraft pro Mitglied CHF</t>
  </si>
  <si>
    <t>Durchschnittliche Steuerkraft pro Mitglied</t>
  </si>
  <si>
    <t>Steuerertrag pro Steuerprozent CHF</t>
  </si>
  <si>
    <t>Mitgliedergewichtete durchschnittliche Steuerkraft CHF</t>
  </si>
  <si>
    <t>ZKB 2015</t>
  </si>
  <si>
    <t>SKA 2015</t>
  </si>
  <si>
    <t>FA 2015 provisorisch</t>
  </si>
  <si>
    <t>Ordentliche Stellen 2015</t>
  </si>
  <si>
    <t>Ergänzungs-pfarrstellen 2015</t>
  </si>
  <si>
    <t>Nettofluss 2015</t>
  </si>
  <si>
    <t>Verbleibende Steuereinnahmen ohne FA</t>
  </si>
  <si>
    <t>Verbleibende Steuereinnahmen ohne FA pro Mitglied</t>
  </si>
  <si>
    <t>Verbleibende Steuereinnahmen inkl. FA</t>
  </si>
  <si>
    <t>Verbleibende Steuereinnahmen inkl. FA pro Mitglied</t>
  </si>
  <si>
    <t>Steuerfuss neu</t>
  </si>
  <si>
    <t>Nettosteuern neu</t>
  </si>
  <si>
    <t>ZKB bisher</t>
  </si>
  <si>
    <t>ZKB neu</t>
  </si>
  <si>
    <t>Nettosteuern Bezirk</t>
  </si>
  <si>
    <t>Mitglieder Bezirk</t>
  </si>
  <si>
    <t>Steuerkraft pro Mitglied</t>
  </si>
  <si>
    <t>Abweichung</t>
  </si>
  <si>
    <t>SKA neu</t>
  </si>
  <si>
    <t>Position</t>
  </si>
  <si>
    <t>bisherige Steuerfüsse</t>
  </si>
  <si>
    <t>neuer Steuerfuss</t>
  </si>
  <si>
    <t>Steuerfuss 2015</t>
  </si>
  <si>
    <t>Differenz</t>
  </si>
  <si>
    <t>Nettosteuern</t>
  </si>
  <si>
    <t>Zentralkassenbeitrag</t>
  </si>
  <si>
    <t>SKA</t>
  </si>
  <si>
    <t>Finanzausgleich</t>
  </si>
  <si>
    <t>zur Verfügung Bezirk</t>
  </si>
  <si>
    <t>Mitglieder 2015</t>
  </si>
  <si>
    <t>Fremdkapital (KGrp 20)</t>
  </si>
  <si>
    <t>Finanzvermögen (KGrp. 10)</t>
  </si>
  <si>
    <t>Nettoschuld pro Mitglied</t>
  </si>
  <si>
    <t>Anspruch auf Teil-Entschuldung (&lt;2000 Mitglieder)</t>
  </si>
  <si>
    <t>Anspruch auf Entschuldungsbeitrag (&lt;3000 Mitglieder)</t>
  </si>
  <si>
    <t>Entschuldungsbeitrag in Fr.</t>
  </si>
  <si>
    <t>Entschuldungsbeitrag über Fr. 200.-</t>
  </si>
  <si>
    <t>Nettovermögen</t>
  </si>
  <si>
    <t>Total Sitzungsgelder</t>
  </si>
  <si>
    <t>Steuereinnahmen (2015)</t>
  </si>
  <si>
    <t>Zentralkassenbeitrag (2015)</t>
  </si>
  <si>
    <t>Ausgaben Liegenschaften (2015)</t>
  </si>
  <si>
    <t>Veränderung Mitglieder im 2015</t>
  </si>
  <si>
    <t>Steuerertrag pro Steuerprozent</t>
  </si>
  <si>
    <t>Ausgaben Personal *.30* (2015)</t>
  </si>
  <si>
    <t>Ausgaben Verwaltung 390.3* /Excl._30 (2015)</t>
  </si>
  <si>
    <t>Ausgaben Gemeindeleben 391-394.3*/Excl. _30 (2015)</t>
  </si>
  <si>
    <t>Anzahl</t>
  </si>
  <si>
    <t>Pfarrpersonen</t>
  </si>
  <si>
    <t>Sozialdiakonie</t>
  </si>
  <si>
    <t>Sigristen/Hausdienst</t>
  </si>
  <si>
    <t>Katechetik</t>
  </si>
  <si>
    <t>Sekretariat/Verwaltung</t>
  </si>
  <si>
    <t>Kirchenmusik</t>
  </si>
  <si>
    <t>Austrittstendenz</t>
  </si>
  <si>
    <t>Rückgang in %</t>
  </si>
  <si>
    <t>Steuereinnahmen</t>
  </si>
  <si>
    <t>Gesamtvermögen</t>
  </si>
  <si>
    <t>Gesamtschuld</t>
  </si>
  <si>
    <t>Entschuldungsbeiträge</t>
  </si>
  <si>
    <t>Variablen</t>
  </si>
  <si>
    <t>Steuerertrag</t>
  </si>
  <si>
    <t>Vermögen</t>
  </si>
  <si>
    <t>Investitionen 2016</t>
  </si>
  <si>
    <t>Investitionen 2024</t>
  </si>
  <si>
    <t>Investitionen 2025</t>
  </si>
  <si>
    <t>Entschuldungsbeitrag 2019</t>
  </si>
  <si>
    <t>Schulden</t>
  </si>
  <si>
    <t>Jährlicher Rückgang Mitglieder</t>
  </si>
  <si>
    <t xml:space="preserve">Jährlicher Rückgang Steuerertrag </t>
  </si>
  <si>
    <t>Jährlicher Rückgang Zentralkassenbeitrag/Liegenschaften/Verwaltung</t>
  </si>
  <si>
    <t>Jährlicher Rückgang Personal und Gemeindeleben</t>
  </si>
  <si>
    <t>Relevante Faktoren</t>
  </si>
  <si>
    <t>Rückgang Steuerertrag durch Unternehmenssteuer-Reform III</t>
  </si>
  <si>
    <t>Rückgang Steuerertrag  durch Unternehmenssteuer-Reform III ab</t>
  </si>
  <si>
    <t>Investitionen</t>
  </si>
  <si>
    <t>Simulation Ressourcenrückgang bei gleichbleibenden Fixkosten (Zentralkassenbeitrag, Liegenschaften, Verwaltung)</t>
  </si>
  <si>
    <t>Mitglieder Anzahl 2015</t>
  </si>
  <si>
    <t xml:space="preserve">Kosten pro Jahr für Lokalteil &amp; ggf. reformiert. </t>
  </si>
  <si>
    <r>
      <t xml:space="preserve">Durchschnittliche Anzahl </t>
    </r>
    <r>
      <rPr>
        <b/>
        <sz val="11"/>
        <color theme="1"/>
        <rFont val="Calibri"/>
        <family val="2"/>
        <scheme val="minor"/>
      </rPr>
      <t>Zusatz</t>
    </r>
    <r>
      <rPr>
        <sz val="11"/>
        <color theme="1"/>
        <rFont val="Calibri"/>
        <family val="2"/>
        <scheme val="minor"/>
      </rPr>
      <t>traktanden pro KGV</t>
    </r>
  </si>
  <si>
    <t>Gemeinde 1</t>
  </si>
  <si>
    <t>Gemeinde 2</t>
  </si>
  <si>
    <t>Gemeinde 3</t>
  </si>
  <si>
    <t>Gemeinde 4</t>
  </si>
  <si>
    <t>Gemeinde 5</t>
  </si>
  <si>
    <t>Gemeinde 6</t>
  </si>
  <si>
    <t>Gemeinde 7</t>
  </si>
  <si>
    <t>Gemeinde 8</t>
  </si>
  <si>
    <t>Gemeinde 9</t>
  </si>
  <si>
    <t>Gemeinde 10</t>
  </si>
  <si>
    <t>Gemeinde 11</t>
  </si>
  <si>
    <t>Kirchgemeindeversammlungen (2010-2015) Anz. Stimmberechtigte</t>
  </si>
  <si>
    <t>A</t>
  </si>
  <si>
    <t>Simulation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</si>
</sst>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CHF&quot;\ * #,##0.00_ ;_ &quot;CHF&quot;\ * \-#,##0.00_ ;_ &quot;CHF&quot;\ * &quot;-&quot;??_ ;_ @_ "/>
    <numFmt numFmtId="43" formatCode="_ * #,##0.00_ ;_ * \-#,##0.00_ ;_ * &quot;-&quot;??_ ;_ @_ "/>
    <numFmt numFmtId="164" formatCode="0.0%"/>
    <numFmt numFmtId="165" formatCode="0.0"/>
    <numFmt numFmtId="166" formatCode="_ * #,##0_ ;_ * \-#,##0_ ;_ * &quot;-&quot;??_ ;_ @_ "/>
    <numFmt numFmtId="167" formatCode="&quot;CHF&quot;\ #,##0"/>
    <numFmt numFmtId="168" formatCode="General_)"/>
    <numFmt numFmtId="169" formatCode="0.00_)"/>
    <numFmt numFmtId="170" formatCode="_ * #,##0.0_ ;_ * \-#,##0.0_ ;_ * &quot;-&quot;??_ ;_ @_ "/>
    <numFmt numFmtId="171" formatCode="_ &quot;CHF&quot;\ * #,##0_ ;_ &quot;CHF&quot;\ * \-#,##0_ ;_ &quot;CHF&quot;\ * &quot;-&quot;??_ ;_ @_ "/>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8"/>
      <name val="Arial"/>
      <family val="2"/>
    </font>
    <font>
      <b/>
      <sz val="8"/>
      <name val="Arial"/>
      <family val="2"/>
    </font>
    <font>
      <sz val="11"/>
      <color rgb="FFFF0000"/>
      <name val="Calibri"/>
      <family val="2"/>
      <scheme val="minor"/>
    </font>
    <font>
      <b/>
      <sz val="11"/>
      <color rgb="FFFF0000"/>
      <name val="Calibri"/>
      <family val="2"/>
      <scheme val="minor"/>
    </font>
    <font>
      <sz val="10"/>
      <name val="Courier"/>
    </font>
    <font>
      <sz val="10"/>
      <name val="Courier"/>
      <family val="3"/>
    </font>
    <font>
      <b/>
      <sz val="9"/>
      <color indexed="81"/>
      <name val="Segoe UI"/>
      <family val="2"/>
    </font>
    <font>
      <sz val="9"/>
      <color indexed="81"/>
      <name val="Segoe UI"/>
      <family val="2"/>
    </font>
    <font>
      <b/>
      <sz val="14"/>
      <name val="Arial"/>
      <family val="2"/>
    </font>
    <font>
      <sz val="10"/>
      <name val="Arial"/>
      <family val="2"/>
    </font>
    <font>
      <sz val="14"/>
      <name val="Arial"/>
      <family val="2"/>
    </font>
    <font>
      <b/>
      <sz val="14"/>
      <color theme="6" tint="-0.249977111117893"/>
      <name val="Arial"/>
      <family val="2"/>
    </font>
    <font>
      <b/>
      <sz val="14"/>
      <color rgb="FFFF0000"/>
      <name val="Arial"/>
      <family val="2"/>
    </font>
    <font>
      <b/>
      <sz val="10"/>
      <name val="Arial"/>
      <family val="2"/>
    </font>
    <font>
      <i/>
      <sz val="9"/>
      <color indexed="81"/>
      <name val="Segoe UI"/>
      <family val="2"/>
    </font>
    <font>
      <sz val="10"/>
      <color theme="1"/>
      <name val="Arial"/>
      <family val="2"/>
    </font>
    <font>
      <b/>
      <sz val="16"/>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6" tint="0.79998168889431442"/>
        <bgColor indexed="64"/>
      </patternFill>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bottom style="medium">
        <color indexed="64"/>
      </bottom>
      <diagonal/>
    </border>
  </borders>
  <cellStyleXfs count="9">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8" fontId="8" fillId="0" borderId="0"/>
    <xf numFmtId="9" fontId="9" fillId="0" borderId="0" applyFont="0" applyFill="0" applyBorder="0" applyAlignment="0" applyProtection="0"/>
    <xf numFmtId="43" fontId="8" fillId="0" borderId="0" applyFont="0" applyFill="0" applyBorder="0" applyAlignment="0" applyProtection="0"/>
    <xf numFmtId="168" fontId="9" fillId="0" borderId="0"/>
    <xf numFmtId="43" fontId="9" fillId="0" borderId="0" applyFont="0" applyFill="0" applyBorder="0" applyAlignment="0" applyProtection="0"/>
  </cellStyleXfs>
  <cellXfs count="144">
    <xf numFmtId="0" fontId="0" fillId="0" borderId="0" xfId="0"/>
    <xf numFmtId="0" fontId="2" fillId="4" borderId="1" xfId="0" applyFont="1" applyFill="1" applyBorder="1"/>
    <xf numFmtId="0" fontId="1" fillId="2" borderId="1" xfId="0" applyFont="1" applyFill="1" applyBorder="1"/>
    <xf numFmtId="0" fontId="1" fillId="3" borderId="1" xfId="0" applyFont="1" applyFill="1" applyBorder="1"/>
    <xf numFmtId="0" fontId="1" fillId="5" borderId="1" xfId="0" applyFont="1" applyFill="1" applyBorder="1"/>
    <xf numFmtId="0" fontId="1" fillId="6" borderId="1" xfId="0" applyFont="1" applyFill="1" applyBorder="1"/>
    <xf numFmtId="0" fontId="2" fillId="4" borderId="1" xfId="0"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6" borderId="1" xfId="0" applyFont="1" applyFill="1" applyBorder="1" applyAlignment="1">
      <alignment horizontal="center"/>
    </xf>
    <xf numFmtId="0" fontId="1" fillId="5" borderId="1" xfId="0" applyFont="1" applyFill="1" applyBorder="1" applyAlignment="1">
      <alignment horizontal="center"/>
    </xf>
    <xf numFmtId="0" fontId="1" fillId="7" borderId="1" xfId="0" applyFont="1" applyFill="1" applyBorder="1"/>
    <xf numFmtId="0" fontId="1" fillId="7" borderId="1" xfId="0" applyFont="1" applyFill="1" applyBorder="1" applyAlignment="1">
      <alignment horizontal="center"/>
    </xf>
    <xf numFmtId="17" fontId="0" fillId="0" borderId="0" xfId="0" applyNumberFormat="1" applyAlignment="1">
      <alignment horizontal="left"/>
    </xf>
    <xf numFmtId="0" fontId="0" fillId="0" borderId="0" xfId="0" applyAlignment="1">
      <alignment horizontal="left"/>
    </xf>
    <xf numFmtId="17" fontId="0" fillId="0" borderId="0" xfId="0" quotePrefix="1" applyNumberFormat="1" applyAlignment="1">
      <alignment horizontal="left"/>
    </xf>
    <xf numFmtId="9" fontId="0" fillId="0" borderId="0" xfId="1" applyFont="1" applyAlignment="1">
      <alignment horizontal="center"/>
    </xf>
    <xf numFmtId="164" fontId="0" fillId="0" borderId="0" xfId="1" applyNumberFormat="1" applyFont="1" applyAlignment="1">
      <alignment horizontal="center"/>
    </xf>
    <xf numFmtId="165" fontId="0" fillId="0" borderId="0" xfId="0" applyNumberFormat="1" applyAlignment="1">
      <alignment horizontal="center"/>
    </xf>
    <xf numFmtId="166" fontId="0" fillId="0" borderId="0" xfId="2" applyNumberFormat="1" applyFont="1" applyAlignment="1">
      <alignment horizontal="center"/>
    </xf>
    <xf numFmtId="164" fontId="0" fillId="0" borderId="0" xfId="1" applyNumberFormat="1" applyFont="1"/>
    <xf numFmtId="0" fontId="1" fillId="4" borderId="1" xfId="0" applyFont="1" applyFill="1" applyBorder="1"/>
    <xf numFmtId="0" fontId="1" fillId="0" borderId="0" xfId="0" applyFont="1"/>
    <xf numFmtId="0" fontId="0" fillId="5" borderId="0" xfId="0" applyFill="1"/>
    <xf numFmtId="0" fontId="0" fillId="5" borderId="1" xfId="0" applyFill="1" applyBorder="1"/>
    <xf numFmtId="0" fontId="0" fillId="5" borderId="1" xfId="0" applyFill="1" applyBorder="1" applyAlignment="1">
      <alignment horizontal="center"/>
    </xf>
    <xf numFmtId="1" fontId="0" fillId="0" borderId="0" xfId="0" applyNumberFormat="1"/>
    <xf numFmtId="9" fontId="0" fillId="0" borderId="0" xfId="1" applyFont="1"/>
    <xf numFmtId="0" fontId="0" fillId="0" borderId="3" xfId="0" applyBorder="1"/>
    <xf numFmtId="0" fontId="0" fillId="0" borderId="4" xfId="0" applyBorder="1"/>
    <xf numFmtId="0" fontId="0" fillId="0" borderId="4" xfId="0" applyBorder="1" applyAlignment="1">
      <alignment horizontal="center"/>
    </xf>
    <xf numFmtId="164" fontId="0" fillId="0" borderId="4" xfId="1" applyNumberFormat="1" applyFont="1" applyBorder="1"/>
    <xf numFmtId="166" fontId="0" fillId="0" borderId="0" xfId="2" quotePrefix="1" applyNumberFormat="1" applyFont="1" applyAlignment="1">
      <alignment horizontal="center"/>
    </xf>
    <xf numFmtId="10" fontId="0" fillId="0" borderId="0" xfId="1" applyNumberFormat="1" applyFont="1"/>
    <xf numFmtId="0" fontId="1" fillId="7" borderId="0" xfId="0" applyFont="1" applyFill="1"/>
    <xf numFmtId="0" fontId="1" fillId="9" borderId="0" xfId="0" applyFont="1" applyFill="1"/>
    <xf numFmtId="0" fontId="0" fillId="3" borderId="0" xfId="0" applyFill="1"/>
    <xf numFmtId="1" fontId="6" fillId="3" borderId="0" xfId="0" applyNumberFormat="1" applyFont="1" applyFill="1"/>
    <xf numFmtId="1" fontId="6" fillId="5" borderId="0" xfId="0" applyNumberFormat="1" applyFont="1" applyFill="1"/>
    <xf numFmtId="0" fontId="6" fillId="5" borderId="0" xfId="0" applyFont="1" applyFill="1"/>
    <xf numFmtId="1" fontId="6" fillId="0" borderId="0" xfId="0" applyNumberFormat="1" applyFont="1"/>
    <xf numFmtId="0" fontId="6" fillId="3" borderId="0" xfId="0" applyFont="1" applyFill="1"/>
    <xf numFmtId="0" fontId="1" fillId="0" borderId="3" xfId="0" applyFont="1" applyBorder="1"/>
    <xf numFmtId="1" fontId="7" fillId="0" borderId="4" xfId="0" applyNumberFormat="1" applyFont="1" applyBorder="1"/>
    <xf numFmtId="1" fontId="7" fillId="0" borderId="5" xfId="0" applyNumberFormat="1" applyFont="1" applyBorder="1"/>
    <xf numFmtId="0" fontId="1" fillId="0" borderId="0" xfId="0" applyFont="1" applyAlignment="1">
      <alignment horizontal="center"/>
    </xf>
    <xf numFmtId="0" fontId="1" fillId="0" borderId="4" xfId="0" applyFont="1" applyBorder="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7" fontId="1" fillId="0" borderId="0" xfId="0" applyNumberFormat="1" applyFont="1"/>
    <xf numFmtId="0" fontId="1" fillId="0" borderId="4" xfId="0" applyFont="1" applyBorder="1"/>
    <xf numFmtId="164" fontId="1" fillId="0" borderId="4" xfId="1" applyNumberFormat="1" applyFont="1" applyBorder="1"/>
    <xf numFmtId="0" fontId="1" fillId="0" borderId="0" xfId="0" applyFont="1" applyAlignment="1">
      <alignment horizontal="right"/>
    </xf>
    <xf numFmtId="168" fontId="4" fillId="0" borderId="6" xfId="4" applyNumberFormat="1" applyFont="1" applyBorder="1" applyAlignment="1" applyProtection="1">
      <alignment horizontal="right"/>
    </xf>
    <xf numFmtId="168" fontId="4" fillId="0" borderId="6" xfId="4" applyNumberFormat="1" applyFont="1" applyFill="1" applyBorder="1" applyAlignment="1" applyProtection="1">
      <alignment horizontal="left"/>
    </xf>
    <xf numFmtId="2" fontId="4" fillId="10" borderId="6" xfId="4" applyNumberFormat="1" applyFont="1" applyFill="1" applyBorder="1" applyAlignment="1" applyProtection="1">
      <alignment horizontal="right"/>
      <protection locked="0"/>
    </xf>
    <xf numFmtId="4" fontId="4" fillId="10" borderId="6" xfId="4" applyNumberFormat="1" applyFont="1" applyFill="1" applyBorder="1" applyAlignment="1" applyProtection="1">
      <alignment horizontal="right"/>
    </xf>
    <xf numFmtId="0" fontId="4" fillId="11" borderId="6" xfId="4" applyNumberFormat="1" applyFont="1" applyFill="1" applyBorder="1" applyAlignment="1">
      <alignment horizontal="right"/>
    </xf>
    <xf numFmtId="0" fontId="4" fillId="12" borderId="6" xfId="4" applyNumberFormat="1" applyFont="1" applyFill="1" applyBorder="1" applyAlignment="1">
      <alignment horizontal="right"/>
    </xf>
    <xf numFmtId="10" fontId="4" fillId="12" borderId="6" xfId="5" applyNumberFormat="1" applyFont="1" applyFill="1" applyBorder="1" applyAlignment="1">
      <alignment horizontal="right"/>
    </xf>
    <xf numFmtId="4" fontId="4" fillId="0" borderId="6" xfId="4" applyNumberFormat="1" applyFont="1" applyBorder="1" applyAlignment="1">
      <alignment horizontal="right"/>
    </xf>
    <xf numFmtId="166" fontId="4" fillId="0" borderId="6" xfId="6" applyNumberFormat="1" applyFont="1" applyBorder="1" applyAlignment="1">
      <alignment horizontal="right"/>
    </xf>
    <xf numFmtId="166" fontId="4" fillId="0" borderId="6" xfId="4" applyNumberFormat="1" applyFont="1" applyBorder="1" applyAlignment="1">
      <alignment horizontal="right"/>
    </xf>
    <xf numFmtId="0" fontId="4" fillId="0" borderId="6" xfId="4" applyNumberFormat="1" applyFont="1" applyBorder="1"/>
    <xf numFmtId="4" fontId="4" fillId="0" borderId="6" xfId="4" applyNumberFormat="1" applyFont="1" applyFill="1" applyBorder="1" applyAlignment="1">
      <alignment horizontal="right"/>
    </xf>
    <xf numFmtId="3" fontId="4" fillId="0" borderId="6" xfId="4" applyNumberFormat="1" applyFont="1" applyFill="1" applyBorder="1" applyAlignment="1">
      <alignment horizontal="right"/>
    </xf>
    <xf numFmtId="168" fontId="4" fillId="0" borderId="6" xfId="4" applyFont="1" applyBorder="1" applyAlignment="1">
      <alignment horizontal="right"/>
    </xf>
    <xf numFmtId="168" fontId="4" fillId="0" borderId="6" xfId="4" applyFont="1" applyFill="1" applyBorder="1"/>
    <xf numFmtId="4" fontId="4" fillId="10" borderId="6" xfId="4" applyNumberFormat="1" applyFont="1" applyFill="1" applyBorder="1" applyAlignment="1" applyProtection="1">
      <alignment horizontal="right"/>
      <protection locked="0"/>
    </xf>
    <xf numFmtId="9" fontId="4" fillId="12" borderId="6" xfId="5" applyFont="1" applyFill="1" applyBorder="1" applyAlignment="1">
      <alignment horizontal="right"/>
    </xf>
    <xf numFmtId="0" fontId="4" fillId="0" borderId="6" xfId="4" applyNumberFormat="1" applyFont="1" applyBorder="1" applyAlignment="1">
      <alignment horizontal="right"/>
    </xf>
    <xf numFmtId="2" fontId="4" fillId="10" borderId="6" xfId="4" applyNumberFormat="1" applyFont="1" applyFill="1" applyBorder="1" applyAlignment="1">
      <alignment horizontal="right"/>
    </xf>
    <xf numFmtId="4" fontId="4" fillId="10" borderId="6" xfId="4" applyNumberFormat="1" applyFont="1" applyFill="1" applyBorder="1" applyAlignment="1">
      <alignment horizontal="right"/>
    </xf>
    <xf numFmtId="168" fontId="12" fillId="0" borderId="0" xfId="7" applyFont="1" applyAlignment="1">
      <alignment wrapText="1"/>
    </xf>
    <xf numFmtId="166" fontId="12" fillId="0" borderId="0" xfId="8" applyNumberFormat="1" applyFont="1" applyAlignment="1">
      <alignment horizontal="right" wrapText="1"/>
    </xf>
    <xf numFmtId="166" fontId="13" fillId="13" borderId="0" xfId="8" applyNumberFormat="1" applyFont="1" applyFill="1"/>
    <xf numFmtId="166" fontId="12" fillId="0" borderId="0" xfId="6" applyNumberFormat="1" applyFont="1" applyAlignment="1">
      <alignment horizontal="right" wrapText="1"/>
    </xf>
    <xf numFmtId="168" fontId="13" fillId="0" borderId="0" xfId="7" applyFont="1"/>
    <xf numFmtId="168" fontId="14" fillId="0" borderId="0" xfId="7" applyFont="1" applyFill="1" applyAlignment="1">
      <alignment wrapText="1"/>
    </xf>
    <xf numFmtId="170" fontId="15" fillId="14" borderId="0" xfId="8" applyNumberFormat="1" applyFont="1" applyFill="1" applyAlignment="1">
      <alignment horizontal="center"/>
    </xf>
    <xf numFmtId="168" fontId="14" fillId="0" borderId="0" xfId="7" applyFont="1"/>
    <xf numFmtId="166" fontId="14" fillId="0" borderId="0" xfId="6" applyNumberFormat="1" applyFont="1" applyAlignment="1">
      <alignment horizontal="right"/>
    </xf>
    <xf numFmtId="166" fontId="14" fillId="0" borderId="0" xfId="8" applyNumberFormat="1" applyFont="1"/>
    <xf numFmtId="168" fontId="14" fillId="0" borderId="0" xfId="7" applyFont="1" applyAlignment="1">
      <alignment wrapText="1"/>
    </xf>
    <xf numFmtId="43" fontId="12" fillId="0" borderId="0" xfId="6" applyFont="1"/>
    <xf numFmtId="166" fontId="14" fillId="13" borderId="0" xfId="8" applyNumberFormat="1" applyFont="1" applyFill="1"/>
    <xf numFmtId="166" fontId="12" fillId="0" borderId="0" xfId="8" applyNumberFormat="1" applyFont="1"/>
    <xf numFmtId="166" fontId="13" fillId="0" borderId="0" xfId="8" applyNumberFormat="1" applyFont="1"/>
    <xf numFmtId="170" fontId="16" fillId="0" borderId="0" xfId="8" applyNumberFormat="1" applyFont="1" applyFill="1"/>
    <xf numFmtId="43" fontId="13" fillId="13" borderId="0" xfId="8" applyNumberFormat="1" applyFont="1" applyFill="1"/>
    <xf numFmtId="168" fontId="17" fillId="0" borderId="0" xfId="7" applyFont="1" applyAlignment="1">
      <alignment wrapText="1"/>
    </xf>
    <xf numFmtId="168" fontId="17" fillId="13" borderId="0" xfId="7" applyFont="1" applyFill="1" applyAlignment="1">
      <alignment wrapText="1"/>
    </xf>
    <xf numFmtId="166" fontId="13" fillId="0" borderId="0" xfId="6" applyNumberFormat="1" applyFont="1"/>
    <xf numFmtId="166" fontId="13" fillId="0" borderId="0" xfId="6" applyNumberFormat="1" applyFont="1" applyAlignment="1">
      <alignment horizontal="right"/>
    </xf>
    <xf numFmtId="168" fontId="13" fillId="0" borderId="0" xfId="7" applyFont="1" applyAlignment="1">
      <alignment wrapText="1"/>
    </xf>
    <xf numFmtId="169" fontId="5" fillId="0" borderId="6" xfId="4" applyNumberFormat="1" applyFont="1" applyBorder="1" applyAlignment="1" applyProtection="1">
      <alignment horizontal="right" vertical="top" textRotation="90" wrapText="1"/>
      <protection locked="0"/>
    </xf>
    <xf numFmtId="168" fontId="5" fillId="0" borderId="6" xfId="4" applyNumberFormat="1" applyFont="1" applyFill="1" applyBorder="1" applyAlignment="1" applyProtection="1">
      <alignment horizontal="right" vertical="top" textRotation="90" wrapText="1"/>
    </xf>
    <xf numFmtId="2" fontId="5" fillId="10" borderId="6" xfId="4" applyNumberFormat="1" applyFont="1" applyFill="1" applyBorder="1" applyAlignment="1" applyProtection="1">
      <alignment horizontal="right" vertical="top" textRotation="90" wrapText="1"/>
    </xf>
    <xf numFmtId="4" fontId="5" fillId="10" borderId="6" xfId="4" applyNumberFormat="1" applyFont="1" applyFill="1" applyBorder="1" applyAlignment="1" applyProtection="1">
      <alignment horizontal="right" vertical="top" textRotation="90" wrapText="1"/>
    </xf>
    <xf numFmtId="0" fontId="5" fillId="11" borderId="6" xfId="4" applyNumberFormat="1" applyFont="1" applyFill="1" applyBorder="1" applyAlignment="1">
      <alignment horizontal="right" vertical="top" textRotation="90" wrapText="1"/>
    </xf>
    <xf numFmtId="0" fontId="5" fillId="12" borderId="6" xfId="4" applyNumberFormat="1" applyFont="1" applyFill="1" applyBorder="1" applyAlignment="1">
      <alignment horizontal="right" vertical="top" textRotation="90" wrapText="1"/>
    </xf>
    <xf numFmtId="9" fontId="5" fillId="12" borderId="6" xfId="5" applyFont="1" applyFill="1" applyBorder="1" applyAlignment="1">
      <alignment horizontal="right" vertical="top" textRotation="90" wrapText="1"/>
    </xf>
    <xf numFmtId="4" fontId="5" fillId="0" borderId="6" xfId="4" applyNumberFormat="1" applyFont="1" applyBorder="1" applyAlignment="1">
      <alignment horizontal="right" vertical="top" textRotation="90" wrapText="1"/>
    </xf>
    <xf numFmtId="0" fontId="5" fillId="0" borderId="6" xfId="4" applyNumberFormat="1" applyFont="1" applyBorder="1" applyAlignment="1">
      <alignment horizontal="right" vertical="top" textRotation="90" wrapText="1"/>
    </xf>
    <xf numFmtId="166" fontId="5" fillId="0" borderId="6" xfId="6" applyNumberFormat="1" applyFont="1" applyBorder="1" applyAlignment="1">
      <alignment horizontal="right" vertical="top" textRotation="90" wrapText="1"/>
    </xf>
    <xf numFmtId="0" fontId="5" fillId="0" borderId="6" xfId="4" applyNumberFormat="1" applyFont="1" applyFill="1" applyBorder="1" applyAlignment="1">
      <alignment horizontal="right" vertical="top" textRotation="90" wrapText="1"/>
    </xf>
    <xf numFmtId="0" fontId="7" fillId="0" borderId="0" xfId="0" applyFont="1" applyAlignment="1">
      <alignment horizontal="center"/>
    </xf>
    <xf numFmtId="166" fontId="7" fillId="0" borderId="0" xfId="2" applyNumberFormat="1" applyFont="1"/>
    <xf numFmtId="166" fontId="0" fillId="0" borderId="0" xfId="2" applyNumberFormat="1" applyFont="1"/>
    <xf numFmtId="1" fontId="7" fillId="0" borderId="0" xfId="0" applyNumberFormat="1" applyFont="1" applyAlignment="1">
      <alignment horizontal="center"/>
    </xf>
    <xf numFmtId="44" fontId="0" fillId="0" borderId="0" xfId="3" applyFont="1" applyAlignment="1">
      <alignment horizontal="center"/>
    </xf>
    <xf numFmtId="0" fontId="0" fillId="0" borderId="0" xfId="0" applyFont="1"/>
    <xf numFmtId="166" fontId="7" fillId="0" borderId="0" xfId="0" applyNumberFormat="1" applyFont="1"/>
    <xf numFmtId="166" fontId="7" fillId="0" borderId="2" xfId="0" applyNumberFormat="1" applyFont="1" applyBorder="1"/>
    <xf numFmtId="10" fontId="0" fillId="0" borderId="0" xfId="0" applyNumberFormat="1"/>
    <xf numFmtId="0" fontId="1" fillId="4" borderId="0" xfId="0" applyFont="1" applyFill="1"/>
    <xf numFmtId="171" fontId="0" fillId="0" borderId="0" xfId="3" applyNumberFormat="1" applyFont="1"/>
    <xf numFmtId="2" fontId="0" fillId="0" borderId="0" xfId="0" applyNumberFormat="1"/>
    <xf numFmtId="0" fontId="0" fillId="11" borderId="0" xfId="0" applyFill="1"/>
    <xf numFmtId="10" fontId="0" fillId="11" borderId="0" xfId="0" applyNumberFormat="1" applyFill="1"/>
    <xf numFmtId="0" fontId="0" fillId="11" borderId="0" xfId="0" applyNumberFormat="1" applyFill="1"/>
    <xf numFmtId="0" fontId="0" fillId="12" borderId="0" xfId="0" applyFill="1"/>
    <xf numFmtId="10" fontId="0" fillId="12" borderId="0" xfId="1" applyNumberFormat="1" applyFont="1" applyFill="1"/>
    <xf numFmtId="10" fontId="0" fillId="11" borderId="0" xfId="1" applyNumberFormat="1" applyFont="1" applyFill="1"/>
    <xf numFmtId="0" fontId="19" fillId="0" borderId="0" xfId="0" applyFont="1" applyAlignment="1">
      <alignment vertical="center"/>
    </xf>
    <xf numFmtId="0" fontId="19" fillId="0" borderId="0" xfId="0" applyFont="1"/>
    <xf numFmtId="43" fontId="0" fillId="0" borderId="0" xfId="2" applyFont="1"/>
    <xf numFmtId="166" fontId="0" fillId="0" borderId="0" xfId="0" applyNumberFormat="1"/>
    <xf numFmtId="171" fontId="1" fillId="0" borderId="0" xfId="3" applyNumberFormat="1" applyFont="1"/>
    <xf numFmtId="164" fontId="1" fillId="0" borderId="0" xfId="1" applyNumberFormat="1" applyFont="1"/>
    <xf numFmtId="0" fontId="2" fillId="0" borderId="0" xfId="0" applyFont="1"/>
    <xf numFmtId="0" fontId="0" fillId="8" borderId="0" xfId="0" applyFill="1" applyBorder="1"/>
    <xf numFmtId="1" fontId="0" fillId="8" borderId="0" xfId="0" applyNumberFormat="1" applyFill="1" applyBorder="1" applyAlignment="1">
      <alignment horizontal="center"/>
    </xf>
    <xf numFmtId="1" fontId="1" fillId="8" borderId="0" xfId="0" applyNumberFormat="1" applyFont="1" applyFill="1" applyBorder="1" applyAlignment="1">
      <alignment horizontal="center"/>
    </xf>
    <xf numFmtId="164" fontId="0" fillId="0" borderId="0" xfId="1" applyNumberFormat="1" applyFont="1" applyBorder="1"/>
    <xf numFmtId="0" fontId="0" fillId="0" borderId="0" xfId="0" applyBorder="1" applyAlignment="1">
      <alignment horizontal="left"/>
    </xf>
    <xf numFmtId="0" fontId="0" fillId="0" borderId="0" xfId="0" applyFill="1"/>
    <xf numFmtId="0" fontId="0" fillId="0" borderId="7" xfId="0" applyBorder="1"/>
    <xf numFmtId="10" fontId="0" fillId="0" borderId="7" xfId="1" applyNumberFormat="1" applyFont="1" applyBorder="1" applyAlignment="1">
      <alignment horizontal="center"/>
    </xf>
    <xf numFmtId="10" fontId="1" fillId="0" borderId="7" xfId="1" applyNumberFormat="1" applyFont="1" applyBorder="1" applyAlignment="1">
      <alignment horizontal="center"/>
    </xf>
    <xf numFmtId="0" fontId="20" fillId="8" borderId="0" xfId="0" applyFont="1" applyFill="1" applyBorder="1" applyAlignment="1">
      <alignment horizontal="center" vertical="center" textRotation="90" wrapText="1"/>
    </xf>
    <xf numFmtId="0" fontId="20" fillId="8" borderId="8" xfId="0" applyFont="1" applyFill="1" applyBorder="1" applyAlignment="1">
      <alignment horizontal="center" vertical="center" textRotation="90" wrapText="1"/>
    </xf>
  </cellXfs>
  <cellStyles count="9">
    <cellStyle name="Komma" xfId="2" builtinId="3"/>
    <cellStyle name="Komma 2" xfId="6"/>
    <cellStyle name="Komma 2 2" xfId="8"/>
    <cellStyle name="Prozent" xfId="1" builtinId="5"/>
    <cellStyle name="Prozent 2" xfId="5"/>
    <cellStyle name="Standard" xfId="0" builtinId="0"/>
    <cellStyle name="Standard 2" xfId="4"/>
    <cellStyle name="Standard 3" xfId="7"/>
    <cellStyle name="Währung" xfId="3" builtinId="4"/>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CH" sz="1600" b="1"/>
              <a:t>Ressourcen-Entwicklung 2015 - 2025</a:t>
            </a:r>
          </a:p>
        </c:rich>
      </c:tx>
      <c:overlay val="0"/>
      <c:spPr>
        <a:noFill/>
        <a:ln>
          <a:noFill/>
        </a:ln>
        <a:effectLst/>
      </c:spPr>
    </c:title>
    <c:autoTitleDeleted val="0"/>
    <c:plotArea>
      <c:layout/>
      <c:barChart>
        <c:barDir val="col"/>
        <c:grouping val="clustered"/>
        <c:varyColors val="0"/>
        <c:ser>
          <c:idx val="1"/>
          <c:order val="1"/>
          <c:tx>
            <c:strRef>
              <c:f>Gesamtsimulation!$A$40</c:f>
              <c:strCache>
                <c:ptCount val="1"/>
                <c:pt idx="0">
                  <c:v>Steuerertrag</c:v>
                </c:pt>
              </c:strCache>
            </c:strRef>
          </c:tx>
          <c:spPr>
            <a:solidFill>
              <a:schemeClr val="accent2"/>
            </a:solidFill>
            <a:ln>
              <a:noFill/>
            </a:ln>
            <a:effectLst/>
          </c:spPr>
          <c:invertIfNegative val="0"/>
          <c:trendline>
            <c:spPr>
              <a:ln w="19050" cap="rnd">
                <a:solidFill>
                  <a:schemeClr val="accent2"/>
                </a:solidFill>
                <a:prstDash val="sysDot"/>
              </a:ln>
              <a:effectLst/>
            </c:spPr>
            <c:trendlineType val="linear"/>
            <c:dispRSqr val="0"/>
            <c:dispEq val="0"/>
          </c:trendline>
          <c:cat>
            <c:numRef>
              <c:f>Gesamtsimulation!$B$38:$L$38</c:f>
              <c:numCache>
                <c:formatCode>General</c:formatCode>
                <c:ptCount val="7"/>
                <c:pt idx="0">
                  <c:v>2015</c:v>
                </c:pt>
                <c:pt idx="1">
                  <c:v>2016</c:v>
                </c:pt>
                <c:pt idx="2">
                  <c:v>2017</c:v>
                </c:pt>
                <c:pt idx="3">
                  <c:v>2018</c:v>
                </c:pt>
                <c:pt idx="4">
                  <c:v>2019</c:v>
                </c:pt>
                <c:pt idx="5">
                  <c:v>2020</c:v>
                </c:pt>
                <c:pt idx="6">
                  <c:v>2021</c:v>
                </c:pt>
              </c:numCache>
            </c:numRef>
          </c:cat>
          <c:val>
            <c:numRef>
              <c:f>Gesamtsimulation!$B$40:$L$40</c:f>
              <c:numCache>
                <c:formatCode>_ "CHF"\ * #,##0_ ;_ "CHF"\ * \-#,##0_ ;_ "CHF"\ * "-"??_ ;_ @_ </c:formatCode>
                <c:ptCount val="7"/>
                <c:pt idx="0">
                  <c:v>11780361</c:v>
                </c:pt>
                <c:pt idx="1">
                  <c:v>11544753.779999999</c:v>
                </c:pt>
                <c:pt idx="2">
                  <c:v>11313858.704399999</c:v>
                </c:pt>
                <c:pt idx="3">
                  <c:v>11087581.530311998</c:v>
                </c:pt>
                <c:pt idx="4">
                  <c:v>9996563.5077292975</c:v>
                </c:pt>
                <c:pt idx="5">
                  <c:v>9796632.2375747114</c:v>
                </c:pt>
                <c:pt idx="6">
                  <c:v>9600699.5928232167</c:v>
                </c:pt>
              </c:numCache>
            </c:numRef>
          </c:val>
          <c:extLst xmlns:c16r2="http://schemas.microsoft.com/office/drawing/2015/06/chart">
            <c:ext xmlns:c16="http://schemas.microsoft.com/office/drawing/2014/chart" uri="{C3380CC4-5D6E-409C-BE32-E72D297353CC}">
              <c16:uniqueId val="{00000001-D878-4F99-B191-A8D76F5F0672}"/>
            </c:ext>
          </c:extLst>
        </c:ser>
        <c:ser>
          <c:idx val="2"/>
          <c:order val="2"/>
          <c:tx>
            <c:strRef>
              <c:f>Gesamtsimulation!$A$41</c:f>
              <c:strCache>
                <c:ptCount val="1"/>
                <c:pt idx="0">
                  <c:v>Zentralkassenbeitrag/Liegenschaften/Verwaltung</c:v>
                </c:pt>
              </c:strCache>
            </c:strRef>
          </c:tx>
          <c:spPr>
            <a:solidFill>
              <a:schemeClr val="accent3"/>
            </a:solidFill>
            <a:ln>
              <a:noFill/>
            </a:ln>
            <a:effectLst/>
          </c:spPr>
          <c:invertIfNegative val="0"/>
          <c:trendline>
            <c:spPr>
              <a:ln w="19050" cap="rnd">
                <a:solidFill>
                  <a:schemeClr val="accent3"/>
                </a:solidFill>
                <a:prstDash val="sysDot"/>
              </a:ln>
              <a:effectLst/>
            </c:spPr>
            <c:trendlineType val="linear"/>
            <c:dispRSqr val="0"/>
            <c:dispEq val="0"/>
          </c:trendline>
          <c:cat>
            <c:numRef>
              <c:f>Gesamtsimulation!$B$38:$L$38</c:f>
              <c:numCache>
                <c:formatCode>General</c:formatCode>
                <c:ptCount val="7"/>
                <c:pt idx="0">
                  <c:v>2015</c:v>
                </c:pt>
                <c:pt idx="1">
                  <c:v>2016</c:v>
                </c:pt>
                <c:pt idx="2">
                  <c:v>2017</c:v>
                </c:pt>
                <c:pt idx="3">
                  <c:v>2018</c:v>
                </c:pt>
                <c:pt idx="4">
                  <c:v>2019</c:v>
                </c:pt>
                <c:pt idx="5">
                  <c:v>2020</c:v>
                </c:pt>
                <c:pt idx="6">
                  <c:v>2021</c:v>
                </c:pt>
              </c:numCache>
            </c:numRef>
          </c:cat>
          <c:val>
            <c:numRef>
              <c:f>Gesamtsimulation!$B$41:$L$41</c:f>
              <c:numCache>
                <c:formatCode>_ "CHF"\ * #,##0_ ;_ "CHF"\ * \-#,##0_ ;_ "CHF"\ * "-"??_ ;_ @_ </c:formatCode>
                <c:ptCount val="7"/>
                <c:pt idx="0">
                  <c:v>3694235</c:v>
                </c:pt>
                <c:pt idx="1">
                  <c:v>3694235</c:v>
                </c:pt>
                <c:pt idx="2">
                  <c:v>3694235</c:v>
                </c:pt>
                <c:pt idx="3">
                  <c:v>3694235</c:v>
                </c:pt>
                <c:pt idx="4">
                  <c:v>3694235</c:v>
                </c:pt>
                <c:pt idx="5">
                  <c:v>3694235</c:v>
                </c:pt>
                <c:pt idx="6">
                  <c:v>3694235</c:v>
                </c:pt>
              </c:numCache>
            </c:numRef>
          </c:val>
          <c:extLst xmlns:c16r2="http://schemas.microsoft.com/office/drawing/2015/06/chart">
            <c:ext xmlns:c16="http://schemas.microsoft.com/office/drawing/2014/chart" uri="{C3380CC4-5D6E-409C-BE32-E72D297353CC}">
              <c16:uniqueId val="{00000002-D878-4F99-B191-A8D76F5F0672}"/>
            </c:ext>
          </c:extLst>
        </c:ser>
        <c:ser>
          <c:idx val="3"/>
          <c:order val="3"/>
          <c:tx>
            <c:strRef>
              <c:f>Gesamtsimulation!$A$42</c:f>
              <c:strCache>
                <c:ptCount val="1"/>
                <c:pt idx="0">
                  <c:v>Personal und Gemeindeleben</c:v>
                </c:pt>
              </c:strCache>
            </c:strRef>
          </c:tx>
          <c:spPr>
            <a:solidFill>
              <a:schemeClr val="accent4"/>
            </a:solidFill>
            <a:ln>
              <a:noFill/>
            </a:ln>
            <a:effectLst/>
          </c:spPr>
          <c:invertIfNegative val="0"/>
          <c:trendline>
            <c:spPr>
              <a:ln w="19050" cap="rnd">
                <a:solidFill>
                  <a:schemeClr val="accent4"/>
                </a:solidFill>
                <a:prstDash val="sysDot"/>
              </a:ln>
              <a:effectLst/>
            </c:spPr>
            <c:trendlineType val="linear"/>
            <c:dispRSqr val="0"/>
            <c:dispEq val="0"/>
          </c:trendline>
          <c:cat>
            <c:numRef>
              <c:f>Gesamtsimulation!$B$38:$L$38</c:f>
              <c:numCache>
                <c:formatCode>General</c:formatCode>
                <c:ptCount val="7"/>
                <c:pt idx="0">
                  <c:v>2015</c:v>
                </c:pt>
                <c:pt idx="1">
                  <c:v>2016</c:v>
                </c:pt>
                <c:pt idx="2">
                  <c:v>2017</c:v>
                </c:pt>
                <c:pt idx="3">
                  <c:v>2018</c:v>
                </c:pt>
                <c:pt idx="4">
                  <c:v>2019</c:v>
                </c:pt>
                <c:pt idx="5">
                  <c:v>2020</c:v>
                </c:pt>
                <c:pt idx="6">
                  <c:v>2021</c:v>
                </c:pt>
              </c:numCache>
            </c:numRef>
          </c:cat>
          <c:val>
            <c:numRef>
              <c:f>Gesamtsimulation!$B$42:$L$42</c:f>
              <c:numCache>
                <c:formatCode>_ "CHF"\ * #,##0_ ;_ "CHF"\ * \-#,##0_ ;_ "CHF"\ * "-"??_ ;_ @_ </c:formatCode>
                <c:ptCount val="7"/>
                <c:pt idx="0">
                  <c:v>6612539</c:v>
                </c:pt>
                <c:pt idx="1">
                  <c:v>6513350.915</c:v>
                </c:pt>
                <c:pt idx="2">
                  <c:v>6415650.6512750005</c:v>
                </c:pt>
                <c:pt idx="3">
                  <c:v>6319415.8915058756</c:v>
                </c:pt>
                <c:pt idx="4">
                  <c:v>6224624.6531332871</c:v>
                </c:pt>
                <c:pt idx="5">
                  <c:v>6131255.2833362874</c:v>
                </c:pt>
                <c:pt idx="6">
                  <c:v>6039286.4540862432</c:v>
                </c:pt>
              </c:numCache>
            </c:numRef>
          </c:val>
          <c:extLst xmlns:c16r2="http://schemas.microsoft.com/office/drawing/2015/06/chart">
            <c:ext xmlns:c16="http://schemas.microsoft.com/office/drawing/2014/chart" uri="{C3380CC4-5D6E-409C-BE32-E72D297353CC}">
              <c16:uniqueId val="{00000003-D878-4F99-B191-A8D76F5F0672}"/>
            </c:ext>
          </c:extLst>
        </c:ser>
        <c:dLbls>
          <c:showLegendKey val="0"/>
          <c:showVal val="0"/>
          <c:showCatName val="0"/>
          <c:showSerName val="0"/>
          <c:showPercent val="0"/>
          <c:showBubbleSize val="0"/>
        </c:dLbls>
        <c:gapWidth val="219"/>
        <c:overlap val="-27"/>
        <c:axId val="253191296"/>
        <c:axId val="253192832"/>
      </c:barChart>
      <c:lineChart>
        <c:grouping val="standard"/>
        <c:varyColors val="0"/>
        <c:ser>
          <c:idx val="0"/>
          <c:order val="0"/>
          <c:tx>
            <c:strRef>
              <c:f>Gesamtsimulation!$A$39</c:f>
              <c:strCache>
                <c:ptCount val="1"/>
                <c:pt idx="0">
                  <c:v>Mitglieder</c:v>
                </c:pt>
              </c:strCache>
            </c:strRef>
          </c:tx>
          <c:spPr>
            <a:ln w="28575" cap="rnd">
              <a:solidFill>
                <a:schemeClr val="accent1"/>
              </a:solidFill>
              <a:round/>
            </a:ln>
            <a:effectLst/>
          </c:spPr>
          <c:marker>
            <c:symbol val="none"/>
          </c:marker>
          <c:cat>
            <c:numRef>
              <c:f>Gesamtsimulation!$B$38:$L$38</c:f>
              <c:numCache>
                <c:formatCode>General</c:formatCode>
                <c:ptCount val="7"/>
                <c:pt idx="0">
                  <c:v>2015</c:v>
                </c:pt>
                <c:pt idx="1">
                  <c:v>2016</c:v>
                </c:pt>
                <c:pt idx="2">
                  <c:v>2017</c:v>
                </c:pt>
                <c:pt idx="3">
                  <c:v>2018</c:v>
                </c:pt>
                <c:pt idx="4">
                  <c:v>2019</c:v>
                </c:pt>
                <c:pt idx="5">
                  <c:v>2020</c:v>
                </c:pt>
                <c:pt idx="6">
                  <c:v>2021</c:v>
                </c:pt>
              </c:numCache>
            </c:numRef>
          </c:cat>
          <c:val>
            <c:numRef>
              <c:f>Gesamtsimulation!$B$39:$L$39</c:f>
              <c:numCache>
                <c:formatCode>0</c:formatCode>
                <c:ptCount val="7"/>
                <c:pt idx="0" formatCode="General">
                  <c:v>34126</c:v>
                </c:pt>
                <c:pt idx="1">
                  <c:v>33648.235999999997</c:v>
                </c:pt>
                <c:pt idx="2">
                  <c:v>33177.160695999999</c:v>
                </c:pt>
                <c:pt idx="3">
                  <c:v>32712.680446255999</c:v>
                </c:pt>
                <c:pt idx="4">
                  <c:v>32254.702920008414</c:v>
                </c:pt>
                <c:pt idx="5">
                  <c:v>31803.137079128297</c:v>
                </c:pt>
                <c:pt idx="6">
                  <c:v>31357.8931600205</c:v>
                </c:pt>
              </c:numCache>
            </c:numRef>
          </c:val>
          <c:smooth val="0"/>
          <c:extLst xmlns:c16r2="http://schemas.microsoft.com/office/drawing/2015/06/chart">
            <c:ext xmlns:c16="http://schemas.microsoft.com/office/drawing/2014/chart" uri="{C3380CC4-5D6E-409C-BE32-E72D297353CC}">
              <c16:uniqueId val="{00000000-D878-4F99-B191-A8D76F5F0672}"/>
            </c:ext>
          </c:extLst>
        </c:ser>
        <c:dLbls>
          <c:showLegendKey val="0"/>
          <c:showVal val="0"/>
          <c:showCatName val="0"/>
          <c:showSerName val="0"/>
          <c:showPercent val="0"/>
          <c:showBubbleSize val="0"/>
        </c:dLbls>
        <c:marker val="1"/>
        <c:smooth val="0"/>
        <c:axId val="253216640"/>
        <c:axId val="253215104"/>
      </c:lineChart>
      <c:catAx>
        <c:axId val="25319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3192832"/>
        <c:crosses val="autoZero"/>
        <c:auto val="1"/>
        <c:lblAlgn val="ctr"/>
        <c:lblOffset val="100"/>
        <c:noMultiLvlLbl val="0"/>
      </c:catAx>
      <c:valAx>
        <c:axId val="253192832"/>
        <c:scaling>
          <c:orientation val="minMax"/>
        </c:scaling>
        <c:delete val="0"/>
        <c:axPos val="l"/>
        <c:majorGridlines>
          <c:spPr>
            <a:ln w="9525" cap="flat" cmpd="sng" algn="ctr">
              <a:solidFill>
                <a:schemeClr val="tx1">
                  <a:lumMod val="15000"/>
                  <a:lumOff val="85000"/>
                </a:schemeClr>
              </a:solidFill>
              <a:round/>
            </a:ln>
            <a:effectLst/>
          </c:spPr>
        </c:majorGridlines>
        <c:numFmt formatCode="_ &quot;CHF&quot;\ * #,##0_ ;_ &quot;CHF&quot;\ * \-#,##0_ ;_ &quot;CHF&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3191296"/>
        <c:crosses val="autoZero"/>
        <c:crossBetween val="between"/>
      </c:valAx>
      <c:valAx>
        <c:axId val="253215104"/>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3216640"/>
        <c:crosses val="max"/>
        <c:crossBetween val="between"/>
      </c:valAx>
      <c:catAx>
        <c:axId val="253216640"/>
        <c:scaling>
          <c:orientation val="minMax"/>
        </c:scaling>
        <c:delete val="1"/>
        <c:axPos val="b"/>
        <c:numFmt formatCode="General" sourceLinked="1"/>
        <c:majorTickMark val="out"/>
        <c:minorTickMark val="none"/>
        <c:tickLblPos val="nextTo"/>
        <c:crossAx val="2532151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de-CH"/>
              <a:t>Gesamtstellen-Etat in % und Anteil in %</a:t>
            </a:r>
          </a:p>
        </c:rich>
      </c:tx>
      <c:overlay val="0"/>
      <c:spPr>
        <a:noFill/>
        <a:ln>
          <a:noFill/>
        </a:ln>
        <a:effectLst/>
      </c:spPr>
    </c:title>
    <c:autoTitleDeleted val="0"/>
    <c:view3D>
      <c:rotX val="5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ECBF-429A-B1A2-4A1061DA1DD9}"/>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ECBF-429A-B1A2-4A1061DA1DD9}"/>
              </c:ext>
            </c:extLst>
          </c:dPt>
          <c:dPt>
            <c:idx val="2"/>
            <c:bubble3D val="0"/>
            <c:spPr>
              <a:solidFill>
                <a:schemeClr val="accent3"/>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ECBF-429A-B1A2-4A1061DA1DD9}"/>
              </c:ext>
            </c:extLst>
          </c:dPt>
          <c:dPt>
            <c:idx val="3"/>
            <c:bubble3D val="0"/>
            <c:spPr>
              <a:solidFill>
                <a:schemeClr val="accent4"/>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ECBF-429A-B1A2-4A1061DA1DD9}"/>
              </c:ext>
            </c:extLst>
          </c:dPt>
          <c:dPt>
            <c:idx val="4"/>
            <c:bubble3D val="0"/>
            <c:spPr>
              <a:solidFill>
                <a:schemeClr val="accent5"/>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ECBF-429A-B1A2-4A1061DA1DD9}"/>
              </c:ext>
            </c:extLst>
          </c:dPt>
          <c:dPt>
            <c:idx val="5"/>
            <c:bubble3D val="0"/>
            <c:spPr>
              <a:solidFill>
                <a:schemeClr val="accent6"/>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ECBF-429A-B1A2-4A1061DA1DD9}"/>
              </c:ext>
            </c:extLst>
          </c:dPt>
          <c:dLbls>
            <c:dLbl>
              <c:idx val="0"/>
              <c:layout>
                <c:manualLayout>
                  <c:x val="1.1401035990252386E-2"/>
                  <c:y val="-4.4882508546942472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CBF-429A-B1A2-4A1061DA1DD9}"/>
                </c:ext>
              </c:extLst>
            </c:dLbl>
            <c:dLbl>
              <c:idx val="1"/>
              <c:layout>
                <c:manualLayout>
                  <c:x val="7.7010078250327463E-2"/>
                  <c:y val="-8.6029423139396377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CBF-429A-B1A2-4A1061DA1DD9}"/>
                </c:ext>
              </c:extLst>
            </c:dLbl>
            <c:dLbl>
              <c:idx val="2"/>
              <c:layout>
                <c:manualLayout>
                  <c:x val="-5.3745361923072242E-2"/>
                  <c:y val="-1.8037529198830501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CBF-429A-B1A2-4A1061DA1DD9}"/>
                </c:ext>
              </c:extLst>
            </c:dLbl>
            <c:dLbl>
              <c:idx val="3"/>
              <c:layout>
                <c:manualLayout>
                  <c:x val="-4.4453655967965126E-2"/>
                  <c:y val="6.835202574137951E-2"/>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CBF-429A-B1A2-4A1061DA1DD9}"/>
                </c:ext>
              </c:extLst>
            </c:dLbl>
            <c:dLbl>
              <c:idx val="4"/>
              <c:layout>
                <c:manualLayout>
                  <c:x val="-8.1536106586987664E-2"/>
                  <c:y val="0.12665841622449453"/>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CBF-429A-B1A2-4A1061DA1DD9}"/>
                </c:ext>
              </c:extLst>
            </c:dLbl>
            <c:dLbl>
              <c:idx val="5"/>
              <c:layout>
                <c:manualLayout>
                  <c:x val="-0.15451525207871566"/>
                  <c:y val="0.14048852930711755"/>
                </c:manualLayout>
              </c:layout>
              <c:dLblPos val="bestFit"/>
              <c:showLegendKey val="0"/>
              <c:showVal val="1"/>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CBF-429A-B1A2-4A1061DA1DD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de-DE"/>
              </a:p>
            </c:txPr>
            <c:dLblPos val="inEnd"/>
            <c:showLegendKey val="0"/>
            <c:showVal val="1"/>
            <c:showCatName val="1"/>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(Basisdaten!$B$28,Basisdaten!$B$30,Basisdaten!$B$32,Basisdaten!$B$34,Basisdaten!$B$36,Basisdaten!$B$38)</c:f>
              <c:strCache>
                <c:ptCount val="6"/>
                <c:pt idx="0">
                  <c:v>Pfarrstellen in %</c:v>
                </c:pt>
                <c:pt idx="1">
                  <c:v>Sozialdiakonie in %</c:v>
                </c:pt>
                <c:pt idx="2">
                  <c:v>Sigristen/Hausdienst in %</c:v>
                </c:pt>
                <c:pt idx="3">
                  <c:v>Kirchenmusik in %</c:v>
                </c:pt>
                <c:pt idx="4">
                  <c:v>Katechetik in %</c:v>
                </c:pt>
                <c:pt idx="5">
                  <c:v>Sekretariat/Verwaltung in %</c:v>
                </c:pt>
              </c:strCache>
            </c:strRef>
          </c:cat>
          <c:val>
            <c:numRef>
              <c:f>(Basisdaten!$N$28,Basisdaten!$N$30,Basisdaten!$N$32,Basisdaten!$N$34,Basisdaten!$N$36,Basisdaten!$N$38)</c:f>
              <c:numCache>
                <c:formatCode>General</c:formatCode>
                <c:ptCount val="6"/>
                <c:pt idx="0">
                  <c:v>2010</c:v>
                </c:pt>
                <c:pt idx="1">
                  <c:v>1290</c:v>
                </c:pt>
                <c:pt idx="2">
                  <c:v>1201</c:v>
                </c:pt>
                <c:pt idx="3">
                  <c:v>540.20000000000005</c:v>
                </c:pt>
                <c:pt idx="4">
                  <c:v>478.2</c:v>
                </c:pt>
                <c:pt idx="5">
                  <c:v>785</c:v>
                </c:pt>
              </c:numCache>
            </c:numRef>
          </c:val>
          <c:extLst xmlns:c16r2="http://schemas.microsoft.com/office/drawing/2015/06/chart">
            <c:ext xmlns:c16="http://schemas.microsoft.com/office/drawing/2014/chart" uri="{C3380CC4-5D6E-409C-BE32-E72D297353CC}">
              <c16:uniqueId val="{0000000C-ECBF-429A-B1A2-4A1061DA1DD9}"/>
            </c:ext>
          </c:extLst>
        </c:ser>
        <c:dLbls>
          <c:dLblPos val="ctr"/>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de-CH"/>
              <a:t>Personalkosten</a:t>
            </a:r>
          </a:p>
        </c:rich>
      </c:tx>
      <c:overlay val="0"/>
      <c:spPr>
        <a:noFill/>
        <a:ln>
          <a:noFill/>
        </a:ln>
        <a:effectLst/>
      </c:spPr>
    </c:title>
    <c:autoTitleDeleted val="0"/>
    <c:plotArea>
      <c:layout/>
      <c:barChart>
        <c:barDir val="bar"/>
        <c:grouping val="clustered"/>
        <c:varyColors val="0"/>
        <c:ser>
          <c:idx val="0"/>
          <c:order val="0"/>
          <c:tx>
            <c:strRef>
              <c:f>Basisdaten!$B$104</c:f>
              <c:strCache>
                <c:ptCount val="1"/>
                <c:pt idx="0">
                  <c:v>Ausgaben Personal *.30* (2015)</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Basisdaten!$C$1:$M$1</c:f>
              <c:strCache>
                <c:ptCount val="7"/>
                <c:pt idx="0">
                  <c:v>Gemeinde 1</c:v>
                </c:pt>
                <c:pt idx="1">
                  <c:v>Gemeinde 2</c:v>
                </c:pt>
                <c:pt idx="2">
                  <c:v>Gemeinde 3</c:v>
                </c:pt>
                <c:pt idx="3">
                  <c:v>Gemeinde 4</c:v>
                </c:pt>
                <c:pt idx="4">
                  <c:v>Gemeinde 5</c:v>
                </c:pt>
                <c:pt idx="5">
                  <c:v>Gemeinde 6</c:v>
                </c:pt>
                <c:pt idx="6">
                  <c:v>Gemeinde 7</c:v>
                </c:pt>
              </c:strCache>
            </c:strRef>
          </c:cat>
          <c:val>
            <c:numRef>
              <c:f>Basisdaten!$C$104:$M$104</c:f>
              <c:numCache>
                <c:formatCode>_ * #,##0_ ;_ * \-#,##0_ ;_ * "-"??_ ;_ @_ </c:formatCode>
                <c:ptCount val="7"/>
                <c:pt idx="0">
                  <c:v>373304</c:v>
                </c:pt>
                <c:pt idx="1">
                  <c:v>442539</c:v>
                </c:pt>
                <c:pt idx="2">
                  <c:v>349098</c:v>
                </c:pt>
                <c:pt idx="3">
                  <c:v>145956</c:v>
                </c:pt>
                <c:pt idx="4">
                  <c:v>468557</c:v>
                </c:pt>
                <c:pt idx="5">
                  <c:v>278661</c:v>
                </c:pt>
                <c:pt idx="6">
                  <c:v>708894</c:v>
                </c:pt>
              </c:numCache>
            </c:numRef>
          </c:val>
          <c:extLst xmlns:c16r2="http://schemas.microsoft.com/office/drawing/2015/06/chart">
            <c:ext xmlns:c16="http://schemas.microsoft.com/office/drawing/2014/chart" uri="{C3380CC4-5D6E-409C-BE32-E72D297353CC}">
              <c16:uniqueId val="{00000000-CBE1-43D5-B4B9-B683F23F2A42}"/>
            </c:ext>
          </c:extLst>
        </c:ser>
        <c:ser>
          <c:idx val="1"/>
          <c:order val="1"/>
          <c:tx>
            <c:strRef>
              <c:f>Basisdaten!$C$1</c:f>
              <c:strCache>
                <c:ptCount val="1"/>
                <c:pt idx="0">
                  <c:v>Gemeinde 1</c:v>
                </c:pt>
              </c:strCache>
            </c:strRef>
          </c:tx>
          <c:spPr>
            <a:noFill/>
            <a:ln w="9525" cap="flat" cmpd="sng" algn="ctr">
              <a:solidFill>
                <a:schemeClr val="accent2"/>
              </a:solidFill>
              <a:miter lim="800000"/>
            </a:ln>
            <a:effectLst>
              <a:glow rad="63500">
                <a:schemeClr val="accent2">
                  <a:satMod val="175000"/>
                  <a:alpha val="25000"/>
                </a:schemeClr>
              </a:glow>
            </a:effectLst>
          </c:spPr>
          <c:invertIfNegative val="0"/>
          <c:cat>
            <c:strRef>
              <c:f>Basisdaten!$C$1:$M$1</c:f>
              <c:strCache>
                <c:ptCount val="7"/>
                <c:pt idx="0">
                  <c:v>Gemeinde 1</c:v>
                </c:pt>
                <c:pt idx="1">
                  <c:v>Gemeinde 2</c:v>
                </c:pt>
                <c:pt idx="2">
                  <c:v>Gemeinde 3</c:v>
                </c:pt>
                <c:pt idx="3">
                  <c:v>Gemeinde 4</c:v>
                </c:pt>
                <c:pt idx="4">
                  <c:v>Gemeinde 5</c:v>
                </c:pt>
                <c:pt idx="5">
                  <c:v>Gemeinde 6</c:v>
                </c:pt>
                <c:pt idx="6">
                  <c:v>Gemeinde 7</c:v>
                </c:pt>
              </c:strCache>
            </c:strRef>
          </c:cat>
          <c:val>
            <c:numRef>
              <c:f>Basisdaten!$D$1:$M$1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1-CBE1-43D5-B4B9-B683F23F2A42}"/>
            </c:ext>
          </c:extLst>
        </c:ser>
        <c:dLbls>
          <c:showLegendKey val="0"/>
          <c:showVal val="0"/>
          <c:showCatName val="0"/>
          <c:showSerName val="0"/>
          <c:showPercent val="0"/>
          <c:showBubbleSize val="0"/>
        </c:dLbls>
        <c:gapWidth val="182"/>
        <c:overlap val="-50"/>
        <c:axId val="255011840"/>
        <c:axId val="255017728"/>
      </c:barChart>
      <c:catAx>
        <c:axId val="255011840"/>
        <c:scaling>
          <c:orientation val="maxMin"/>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e-DE"/>
          </a:p>
        </c:txPr>
        <c:crossAx val="255017728"/>
        <c:crosses val="autoZero"/>
        <c:auto val="1"/>
        <c:lblAlgn val="ctr"/>
        <c:lblOffset val="100"/>
        <c:noMultiLvlLbl val="0"/>
      </c:catAx>
      <c:valAx>
        <c:axId val="255017728"/>
        <c:scaling>
          <c:orientation val="minMax"/>
        </c:scaling>
        <c:delete val="0"/>
        <c:axPos val="t"/>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e-DE"/>
          </a:p>
        </c:txPr>
        <c:crossAx val="2550118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de-DE"/>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CH"/>
              <a:t>Stellensimulation 2015-2025</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Personal!$B$41</c:f>
              <c:strCache>
                <c:ptCount val="1"/>
                <c:pt idx="0">
                  <c:v>2015</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accent1">
                        <a:lumMod val="60000"/>
                        <a:lumOff val="40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Personal!$A$43:$A$48</c:f>
              <c:strCache>
                <c:ptCount val="5"/>
                <c:pt idx="0">
                  <c:v>Sozialdiakonie in %</c:v>
                </c:pt>
                <c:pt idx="1">
                  <c:v>Sigristen/Hausdienst in %</c:v>
                </c:pt>
                <c:pt idx="2">
                  <c:v>Kirchenmusik in %</c:v>
                </c:pt>
                <c:pt idx="3">
                  <c:v>Katechetik in %</c:v>
                </c:pt>
                <c:pt idx="4">
                  <c:v>Sekretariat/Verwaltung in %</c:v>
                </c:pt>
              </c:strCache>
            </c:strRef>
          </c:cat>
          <c:val>
            <c:numRef>
              <c:f>Personal!$B$43:$B$48</c:f>
              <c:numCache>
                <c:formatCode>0</c:formatCode>
                <c:ptCount val="5"/>
                <c:pt idx="0">
                  <c:v>1290</c:v>
                </c:pt>
                <c:pt idx="1">
                  <c:v>1201</c:v>
                </c:pt>
                <c:pt idx="2">
                  <c:v>540.20000000000005</c:v>
                </c:pt>
                <c:pt idx="3">
                  <c:v>478.2</c:v>
                </c:pt>
                <c:pt idx="4">
                  <c:v>785</c:v>
                </c:pt>
              </c:numCache>
            </c:numRef>
          </c:val>
          <c:extLst xmlns:c16r2="http://schemas.microsoft.com/office/drawing/2015/06/chart">
            <c:ext xmlns:c16="http://schemas.microsoft.com/office/drawing/2014/chart" uri="{C3380CC4-5D6E-409C-BE32-E72D297353CC}">
              <c16:uniqueId val="{00000000-C061-45F9-AE39-CC6BF254C4C1}"/>
            </c:ext>
          </c:extLst>
        </c:ser>
        <c:ser>
          <c:idx val="1"/>
          <c:order val="1"/>
          <c:tx>
            <c:strRef>
              <c:f>Personal!$C$41</c:f>
              <c:strCache>
                <c:ptCount val="1"/>
                <c:pt idx="0">
                  <c:v>2025</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FFC000"/>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Personal!$A$43:$A$48</c:f>
              <c:strCache>
                <c:ptCount val="5"/>
                <c:pt idx="0">
                  <c:v>Sozialdiakonie in %</c:v>
                </c:pt>
                <c:pt idx="1">
                  <c:v>Sigristen/Hausdienst in %</c:v>
                </c:pt>
                <c:pt idx="2">
                  <c:v>Kirchenmusik in %</c:v>
                </c:pt>
                <c:pt idx="3">
                  <c:v>Katechetik in %</c:v>
                </c:pt>
                <c:pt idx="4">
                  <c:v>Sekretariat/Verwaltung in %</c:v>
                </c:pt>
              </c:strCache>
            </c:strRef>
          </c:cat>
          <c:val>
            <c:numRef>
              <c:f>Personal!$C$43:$C$48</c:f>
              <c:numCache>
                <c:formatCode>0</c:formatCode>
                <c:ptCount val="5"/>
                <c:pt idx="0">
                  <c:v>1148.1000000000001</c:v>
                </c:pt>
                <c:pt idx="1">
                  <c:v>1068.8899999999999</c:v>
                </c:pt>
                <c:pt idx="2">
                  <c:v>480.77800000000002</c:v>
                </c:pt>
                <c:pt idx="3">
                  <c:v>425.59800000000001</c:v>
                </c:pt>
                <c:pt idx="4">
                  <c:v>698.65</c:v>
                </c:pt>
              </c:numCache>
            </c:numRef>
          </c:val>
          <c:extLst xmlns:c16r2="http://schemas.microsoft.com/office/drawing/2015/06/chart">
            <c:ext xmlns:c16="http://schemas.microsoft.com/office/drawing/2014/chart" uri="{C3380CC4-5D6E-409C-BE32-E72D297353CC}">
              <c16:uniqueId val="{00000001-1D11-482C-90BA-28E6E33D1D02}"/>
            </c:ext>
          </c:extLst>
        </c:ser>
        <c:dLbls>
          <c:showLegendKey val="0"/>
          <c:showVal val="0"/>
          <c:showCatName val="0"/>
          <c:showSerName val="0"/>
          <c:showPercent val="0"/>
          <c:showBubbleSize val="0"/>
        </c:dLbls>
        <c:gapWidth val="150"/>
        <c:shape val="box"/>
        <c:axId val="254640512"/>
        <c:axId val="254642048"/>
        <c:axId val="0"/>
      </c:bar3DChart>
      <c:catAx>
        <c:axId val="254640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lt1">
                    <a:lumMod val="85000"/>
                  </a:schemeClr>
                </a:solidFill>
                <a:latin typeface="+mn-lt"/>
                <a:ea typeface="+mn-ea"/>
                <a:cs typeface="+mn-cs"/>
              </a:defRPr>
            </a:pPr>
            <a:endParaRPr lang="de-DE"/>
          </a:p>
        </c:txPr>
        <c:crossAx val="254642048"/>
        <c:crosses val="autoZero"/>
        <c:auto val="1"/>
        <c:lblAlgn val="ctr"/>
        <c:lblOffset val="100"/>
        <c:noMultiLvlLbl val="0"/>
      </c:catAx>
      <c:valAx>
        <c:axId val="254642048"/>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2546405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Stellensimulation "Zusammenschluss"</a:t>
            </a:r>
          </a:p>
        </c:rich>
      </c:tx>
      <c:overlay val="0"/>
      <c:spPr>
        <a:noFill/>
        <a:ln>
          <a:noFill/>
        </a:ln>
        <a:effectLst/>
      </c:spPr>
    </c:title>
    <c:autoTitleDeleted val="0"/>
    <c:plotArea>
      <c:layout/>
      <c:barChart>
        <c:barDir val="col"/>
        <c:grouping val="clustered"/>
        <c:varyColors val="0"/>
        <c:ser>
          <c:idx val="0"/>
          <c:order val="0"/>
          <c:tx>
            <c:strRef>
              <c:f>Personal!$B$41</c:f>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Personal!$A$43:$A$48</c:f>
              <c:strCache>
                <c:ptCount val="5"/>
                <c:pt idx="0">
                  <c:v>Sozialdiakonie in %</c:v>
                </c:pt>
                <c:pt idx="1">
                  <c:v>Sigristen/Hausdienst in %</c:v>
                </c:pt>
                <c:pt idx="2">
                  <c:v>Kirchenmusik in %</c:v>
                </c:pt>
                <c:pt idx="3">
                  <c:v>Katechetik in %</c:v>
                </c:pt>
                <c:pt idx="4">
                  <c:v>Sekretariat/Verwaltung in %</c:v>
                </c:pt>
              </c:strCache>
            </c:strRef>
          </c:cat>
          <c:val>
            <c:numRef>
              <c:f>Personal!$B$53:$B$58</c:f>
              <c:numCache>
                <c:formatCode>0</c:formatCode>
                <c:ptCount val="5"/>
                <c:pt idx="0">
                  <c:v>1290</c:v>
                </c:pt>
                <c:pt idx="1">
                  <c:v>1201</c:v>
                </c:pt>
                <c:pt idx="2">
                  <c:v>540.20000000000005</c:v>
                </c:pt>
                <c:pt idx="3">
                  <c:v>478.2</c:v>
                </c:pt>
                <c:pt idx="4">
                  <c:v>785</c:v>
                </c:pt>
              </c:numCache>
            </c:numRef>
          </c:val>
          <c:extLst xmlns:c16r2="http://schemas.microsoft.com/office/drawing/2015/06/chart">
            <c:ext xmlns:c16="http://schemas.microsoft.com/office/drawing/2014/chart" uri="{C3380CC4-5D6E-409C-BE32-E72D297353CC}">
              <c16:uniqueId val="{00000000-5A48-4287-89E4-B100A79B7593}"/>
            </c:ext>
          </c:extLst>
        </c:ser>
        <c:ser>
          <c:idx val="1"/>
          <c:order val="1"/>
          <c:tx>
            <c:strRef>
              <c:f>Personal!$C$41</c:f>
              <c:strCache>
                <c:ptCount val="1"/>
                <c:pt idx="0">
                  <c:v>2025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Personal!$A$43:$A$48</c:f>
              <c:strCache>
                <c:ptCount val="5"/>
                <c:pt idx="0">
                  <c:v>Sozialdiakonie in %</c:v>
                </c:pt>
                <c:pt idx="1">
                  <c:v>Sigristen/Hausdienst in %</c:v>
                </c:pt>
                <c:pt idx="2">
                  <c:v>Kirchenmusik in %</c:v>
                </c:pt>
                <c:pt idx="3">
                  <c:v>Katechetik in %</c:v>
                </c:pt>
                <c:pt idx="4">
                  <c:v>Sekretariat/Verwaltung in %</c:v>
                </c:pt>
              </c:strCache>
            </c:strRef>
          </c:cat>
          <c:val>
            <c:numRef>
              <c:f>Personal!$C$53:$C$58</c:f>
              <c:numCache>
                <c:formatCode>0</c:formatCode>
                <c:ptCount val="5"/>
                <c:pt idx="0">
                  <c:v>1148.1000000000001</c:v>
                </c:pt>
                <c:pt idx="1">
                  <c:v>1068.8899999999999</c:v>
                </c:pt>
                <c:pt idx="2">
                  <c:v>480.77800000000002</c:v>
                </c:pt>
                <c:pt idx="3">
                  <c:v>425.59800000000001</c:v>
                </c:pt>
                <c:pt idx="4">
                  <c:v>698.65</c:v>
                </c:pt>
              </c:numCache>
            </c:numRef>
          </c:val>
          <c:extLst xmlns:c16r2="http://schemas.microsoft.com/office/drawing/2015/06/chart">
            <c:ext xmlns:c16="http://schemas.microsoft.com/office/drawing/2014/chart" uri="{C3380CC4-5D6E-409C-BE32-E72D297353CC}">
              <c16:uniqueId val="{00000001-5A48-4287-89E4-B100A79B7593}"/>
            </c:ext>
          </c:extLst>
        </c:ser>
        <c:dLbls>
          <c:showLegendKey val="0"/>
          <c:showVal val="0"/>
          <c:showCatName val="0"/>
          <c:showSerName val="0"/>
          <c:showPercent val="0"/>
          <c:showBubbleSize val="0"/>
        </c:dLbls>
        <c:gapWidth val="219"/>
        <c:overlap val="-27"/>
        <c:axId val="255743488"/>
        <c:axId val="255745024"/>
      </c:barChart>
      <c:catAx>
        <c:axId val="25574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5745024"/>
        <c:crosses val="autoZero"/>
        <c:auto val="1"/>
        <c:lblAlgn val="ctr"/>
        <c:lblOffset val="100"/>
        <c:noMultiLvlLbl val="0"/>
      </c:catAx>
      <c:valAx>
        <c:axId val="25574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5743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CH">
                <a:solidFill>
                  <a:srgbClr val="00B0F0"/>
                </a:solidFill>
              </a:rPr>
              <a:t>Stellen</a:t>
            </a:r>
            <a:r>
              <a:rPr lang="de-CH" baseline="0"/>
              <a:t> und </a:t>
            </a:r>
            <a:r>
              <a:rPr lang="de-CH" baseline="0">
                <a:solidFill>
                  <a:srgbClr val="FF0000"/>
                </a:solidFill>
              </a:rPr>
              <a:t>Pensen</a:t>
            </a:r>
            <a:endParaRPr lang="de-CH">
              <a:solidFill>
                <a:srgbClr val="FF0000"/>
              </a:solidFill>
            </a:endParaRPr>
          </a:p>
        </c:rich>
      </c:tx>
      <c:overlay val="0"/>
      <c:spPr>
        <a:noFill/>
        <a:ln>
          <a:noFill/>
        </a:ln>
        <a:effectLst/>
      </c:spPr>
    </c:title>
    <c:autoTitleDeleted val="0"/>
    <c:plotArea>
      <c:layout/>
      <c:barChart>
        <c:barDir val="col"/>
        <c:grouping val="clustered"/>
        <c:varyColors val="0"/>
        <c:ser>
          <c:idx val="0"/>
          <c:order val="0"/>
          <c:tx>
            <c:strRef>
              <c:f>Personal!$V$7</c:f>
              <c:strCache>
                <c:ptCount val="1"/>
                <c:pt idx="0">
                  <c:v>in %</c:v>
                </c:pt>
              </c:strCache>
            </c:strRef>
          </c:tx>
          <c:spPr>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5400000" scaled="1"/>
              <a:tileRect/>
            </a:gradFill>
            <a:ln>
              <a:solidFill>
                <a:srgbClr val="FF0000"/>
              </a:solid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Personal!$U$8:$U$13</c:f>
              <c:strCache>
                <c:ptCount val="6"/>
                <c:pt idx="0">
                  <c:v>Pfarrpersonen</c:v>
                </c:pt>
                <c:pt idx="1">
                  <c:v>Sozialdiakonie</c:v>
                </c:pt>
                <c:pt idx="2">
                  <c:v>Sigristen/Hausdienst</c:v>
                </c:pt>
                <c:pt idx="3">
                  <c:v>Kirchenmusik</c:v>
                </c:pt>
                <c:pt idx="4">
                  <c:v>Katechetik</c:v>
                </c:pt>
                <c:pt idx="5">
                  <c:v>Sekretariat/Verwaltung</c:v>
                </c:pt>
              </c:strCache>
            </c:strRef>
          </c:cat>
          <c:val>
            <c:numRef>
              <c:f>Personal!$V$8:$V$13</c:f>
              <c:numCache>
                <c:formatCode>General</c:formatCode>
                <c:ptCount val="6"/>
                <c:pt idx="0">
                  <c:v>2010</c:v>
                </c:pt>
                <c:pt idx="1">
                  <c:v>1290</c:v>
                </c:pt>
                <c:pt idx="2">
                  <c:v>1201</c:v>
                </c:pt>
                <c:pt idx="3">
                  <c:v>540.20000000000005</c:v>
                </c:pt>
                <c:pt idx="4">
                  <c:v>478.2</c:v>
                </c:pt>
                <c:pt idx="5">
                  <c:v>785</c:v>
                </c:pt>
              </c:numCache>
            </c:numRef>
          </c:val>
          <c:extLst xmlns:c16r2="http://schemas.microsoft.com/office/drawing/2015/06/chart">
            <c:ext xmlns:c16="http://schemas.microsoft.com/office/drawing/2014/chart" uri="{C3380CC4-5D6E-409C-BE32-E72D297353CC}">
              <c16:uniqueId val="{00000000-C061-45F9-AE39-CC6BF254C4C1}"/>
            </c:ext>
          </c:extLst>
        </c:ser>
        <c:dLbls>
          <c:showLegendKey val="0"/>
          <c:showVal val="0"/>
          <c:showCatName val="0"/>
          <c:showSerName val="0"/>
          <c:showPercent val="0"/>
          <c:showBubbleSize val="0"/>
        </c:dLbls>
        <c:gapWidth val="75"/>
        <c:axId val="255816448"/>
        <c:axId val="255806464"/>
      </c:barChart>
      <c:lineChart>
        <c:grouping val="standard"/>
        <c:varyColors val="0"/>
        <c:ser>
          <c:idx val="1"/>
          <c:order val="1"/>
          <c:tx>
            <c:strRef>
              <c:f>Personal!$W$7</c:f>
              <c:strCache>
                <c:ptCount val="1"/>
                <c:pt idx="0">
                  <c:v>Anzahl</c:v>
                </c:pt>
              </c:strCache>
            </c:strRef>
          </c:tx>
          <c:spPr>
            <a:ln w="34925" cap="rnd">
              <a:solidFill>
                <a:srgbClr val="00B0F0"/>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00B0F0"/>
                    </a:solidFill>
                    <a:latin typeface="+mn-lt"/>
                    <a:ea typeface="+mn-ea"/>
                    <a:cs typeface="+mn-cs"/>
                  </a:defRPr>
                </a:pPr>
                <a:endParaRPr lang="de-DE"/>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Personal!$U$8:$U$13</c:f>
              <c:strCache>
                <c:ptCount val="6"/>
                <c:pt idx="0">
                  <c:v>Pfarrpersonen</c:v>
                </c:pt>
                <c:pt idx="1">
                  <c:v>Sozialdiakonie</c:v>
                </c:pt>
                <c:pt idx="2">
                  <c:v>Sigristen/Hausdienst</c:v>
                </c:pt>
                <c:pt idx="3">
                  <c:v>Kirchenmusik</c:v>
                </c:pt>
                <c:pt idx="4">
                  <c:v>Katechetik</c:v>
                </c:pt>
                <c:pt idx="5">
                  <c:v>Sekretariat/Verwaltung</c:v>
                </c:pt>
              </c:strCache>
            </c:strRef>
          </c:cat>
          <c:val>
            <c:numRef>
              <c:f>Personal!$W$8:$W$13</c:f>
              <c:numCache>
                <c:formatCode>General</c:formatCode>
                <c:ptCount val="6"/>
                <c:pt idx="0">
                  <c:v>28</c:v>
                </c:pt>
                <c:pt idx="1">
                  <c:v>22</c:v>
                </c:pt>
                <c:pt idx="2">
                  <c:v>29</c:v>
                </c:pt>
                <c:pt idx="3">
                  <c:v>18</c:v>
                </c:pt>
                <c:pt idx="4">
                  <c:v>29</c:v>
                </c:pt>
                <c:pt idx="5">
                  <c:v>17</c:v>
                </c:pt>
              </c:numCache>
            </c:numRef>
          </c:val>
          <c:smooth val="0"/>
          <c:extLst xmlns:c16r2="http://schemas.microsoft.com/office/drawing/2015/06/chart">
            <c:ext xmlns:c16="http://schemas.microsoft.com/office/drawing/2014/chart" uri="{C3380CC4-5D6E-409C-BE32-E72D297353CC}">
              <c16:uniqueId val="{00000003-C5E7-4E1F-A016-3300A5973C15}"/>
            </c:ext>
          </c:extLst>
        </c:ser>
        <c:dLbls>
          <c:showLegendKey val="0"/>
          <c:showVal val="0"/>
          <c:showCatName val="0"/>
          <c:showSerName val="0"/>
          <c:showPercent val="0"/>
          <c:showBubbleSize val="0"/>
        </c:dLbls>
        <c:marker val="1"/>
        <c:smooth val="0"/>
        <c:axId val="255804928"/>
        <c:axId val="255803392"/>
      </c:lineChart>
      <c:valAx>
        <c:axId val="255803392"/>
        <c:scaling>
          <c:orientation val="minMax"/>
          <c:max val="30"/>
        </c:scaling>
        <c:delete val="0"/>
        <c:axPos val="r"/>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00B0F0"/>
                </a:solidFill>
                <a:latin typeface="+mn-lt"/>
                <a:ea typeface="+mn-ea"/>
                <a:cs typeface="+mn-cs"/>
              </a:defRPr>
            </a:pPr>
            <a:endParaRPr lang="de-DE"/>
          </a:p>
        </c:txPr>
        <c:crossAx val="255804928"/>
        <c:crosses val="max"/>
        <c:crossBetween val="between"/>
      </c:valAx>
      <c:catAx>
        <c:axId val="255804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e-DE"/>
          </a:p>
        </c:txPr>
        <c:crossAx val="255803392"/>
        <c:crosses val="autoZero"/>
        <c:auto val="1"/>
        <c:lblAlgn val="ctr"/>
        <c:lblOffset val="100"/>
        <c:noMultiLvlLbl val="0"/>
      </c:catAx>
      <c:valAx>
        <c:axId val="25580646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rgbClr val="FF0000"/>
                </a:solidFill>
                <a:latin typeface="+mn-lt"/>
                <a:ea typeface="+mn-ea"/>
                <a:cs typeface="+mn-cs"/>
              </a:defRPr>
            </a:pPr>
            <a:endParaRPr lang="de-DE"/>
          </a:p>
        </c:txPr>
        <c:crossAx val="255816448"/>
        <c:crosses val="autoZero"/>
        <c:crossBetween val="between"/>
      </c:valAx>
      <c:catAx>
        <c:axId val="255816448"/>
        <c:scaling>
          <c:orientation val="minMax"/>
        </c:scaling>
        <c:delete val="1"/>
        <c:axPos val="b"/>
        <c:numFmt formatCode="General" sourceLinked="1"/>
        <c:majorTickMark val="out"/>
        <c:minorTickMark val="none"/>
        <c:tickLblPos val="nextTo"/>
        <c:crossAx val="2558064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de-CH"/>
              <a:t>Mitgliederentwicklung 2006</a:t>
            </a:r>
            <a:r>
              <a:rPr lang="de-CH" baseline="0"/>
              <a:t> - 2015</a:t>
            </a:r>
            <a:endParaRPr lang="de-CH"/>
          </a:p>
        </c:rich>
      </c:tx>
      <c:overlay val="0"/>
      <c:spPr>
        <a:noFill/>
        <a:ln>
          <a:noFill/>
        </a:ln>
        <a:effectLst/>
      </c:spPr>
    </c:title>
    <c:autoTitleDeleted val="0"/>
    <c:plotArea>
      <c:layout/>
      <c:barChart>
        <c:barDir val="bar"/>
        <c:grouping val="stacked"/>
        <c:varyColors val="0"/>
        <c:ser>
          <c:idx val="2"/>
          <c:order val="0"/>
          <c:tx>
            <c:strRef>
              <c:f>Basisdaten!$C$1</c:f>
              <c:strCache>
                <c:ptCount val="1"/>
                <c:pt idx="0">
                  <c:v>Gemeinde 1</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Basisdaten!$C$15:$C$24</c:f>
              <c:numCache>
                <c:formatCode>General</c:formatCode>
                <c:ptCount val="10"/>
                <c:pt idx="0">
                  <c:v>2401</c:v>
                </c:pt>
                <c:pt idx="1">
                  <c:v>2471</c:v>
                </c:pt>
                <c:pt idx="2">
                  <c:v>2471</c:v>
                </c:pt>
                <c:pt idx="3">
                  <c:v>2487</c:v>
                </c:pt>
                <c:pt idx="4">
                  <c:v>2486</c:v>
                </c:pt>
                <c:pt idx="5">
                  <c:v>2486</c:v>
                </c:pt>
                <c:pt idx="6">
                  <c:v>2484</c:v>
                </c:pt>
                <c:pt idx="7">
                  <c:v>2444</c:v>
                </c:pt>
                <c:pt idx="8">
                  <c:v>2446</c:v>
                </c:pt>
                <c:pt idx="9">
                  <c:v>2456</c:v>
                </c:pt>
              </c:numCache>
            </c:numRef>
          </c:val>
          <c:extLst xmlns:c16r2="http://schemas.microsoft.com/office/drawing/2015/06/chart">
            <c:ext xmlns:c16="http://schemas.microsoft.com/office/drawing/2014/chart" uri="{C3380CC4-5D6E-409C-BE32-E72D297353CC}">
              <c16:uniqueId val="{00000002-E3E6-4938-9F11-497B42E4ED7D}"/>
            </c:ext>
          </c:extLst>
        </c:ser>
        <c:ser>
          <c:idx val="3"/>
          <c:order val="1"/>
          <c:tx>
            <c:strRef>
              <c:f>Basisdaten!$D$1</c:f>
              <c:strCache>
                <c:ptCount val="1"/>
                <c:pt idx="0">
                  <c:v>Gemeinde 2</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Basisdaten!$D$15:$D$24</c:f>
              <c:numCache>
                <c:formatCode>General</c:formatCode>
                <c:ptCount val="10"/>
                <c:pt idx="0">
                  <c:v>3033</c:v>
                </c:pt>
                <c:pt idx="1">
                  <c:v>3046</c:v>
                </c:pt>
                <c:pt idx="2">
                  <c:v>3062</c:v>
                </c:pt>
                <c:pt idx="3">
                  <c:v>3024</c:v>
                </c:pt>
                <c:pt idx="4">
                  <c:v>3045</c:v>
                </c:pt>
                <c:pt idx="5">
                  <c:v>3050</c:v>
                </c:pt>
                <c:pt idx="6">
                  <c:v>3049</c:v>
                </c:pt>
                <c:pt idx="7">
                  <c:v>3044</c:v>
                </c:pt>
                <c:pt idx="8">
                  <c:v>3001</c:v>
                </c:pt>
                <c:pt idx="9">
                  <c:v>2942</c:v>
                </c:pt>
              </c:numCache>
            </c:numRef>
          </c:val>
          <c:extLst xmlns:c16r2="http://schemas.microsoft.com/office/drawing/2015/06/chart">
            <c:ext xmlns:c16="http://schemas.microsoft.com/office/drawing/2014/chart" uri="{C3380CC4-5D6E-409C-BE32-E72D297353CC}">
              <c16:uniqueId val="{00000003-E3E6-4938-9F11-497B42E4ED7D}"/>
            </c:ext>
          </c:extLst>
        </c:ser>
        <c:ser>
          <c:idx val="4"/>
          <c:order val="2"/>
          <c:tx>
            <c:strRef>
              <c:f>Basisdaten!$E$1</c:f>
              <c:strCache>
                <c:ptCount val="1"/>
                <c:pt idx="0">
                  <c:v>Gemeinde 3</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Basisdaten!$E$15:$E$24</c:f>
              <c:numCache>
                <c:formatCode>General</c:formatCode>
                <c:ptCount val="10"/>
                <c:pt idx="0">
                  <c:v>2771</c:v>
                </c:pt>
                <c:pt idx="1">
                  <c:v>2815</c:v>
                </c:pt>
                <c:pt idx="2">
                  <c:v>2792</c:v>
                </c:pt>
                <c:pt idx="3">
                  <c:v>2834</c:v>
                </c:pt>
                <c:pt idx="4">
                  <c:v>2834</c:v>
                </c:pt>
                <c:pt idx="5">
                  <c:v>2738</c:v>
                </c:pt>
                <c:pt idx="6">
                  <c:v>2712</c:v>
                </c:pt>
                <c:pt idx="7">
                  <c:v>2697</c:v>
                </c:pt>
                <c:pt idx="8">
                  <c:v>2716</c:v>
                </c:pt>
                <c:pt idx="9">
                  <c:v>2722</c:v>
                </c:pt>
              </c:numCache>
            </c:numRef>
          </c:val>
          <c:extLst xmlns:c16r2="http://schemas.microsoft.com/office/drawing/2015/06/chart">
            <c:ext xmlns:c16="http://schemas.microsoft.com/office/drawing/2014/chart" uri="{C3380CC4-5D6E-409C-BE32-E72D297353CC}">
              <c16:uniqueId val="{00000004-E3E6-4938-9F11-497B42E4ED7D}"/>
            </c:ext>
          </c:extLst>
        </c:ser>
        <c:ser>
          <c:idx val="5"/>
          <c:order val="3"/>
          <c:tx>
            <c:strRef>
              <c:f>Basisdaten!$F$1</c:f>
              <c:strCache>
                <c:ptCount val="1"/>
                <c:pt idx="0">
                  <c:v>Gemeinde 4</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Basisdaten!$F$15:$F$24</c:f>
              <c:numCache>
                <c:formatCode>General</c:formatCode>
                <c:ptCount val="10"/>
                <c:pt idx="0">
                  <c:v>1268</c:v>
                </c:pt>
                <c:pt idx="1">
                  <c:v>1232</c:v>
                </c:pt>
                <c:pt idx="2">
                  <c:v>1257</c:v>
                </c:pt>
                <c:pt idx="3">
                  <c:v>1271</c:v>
                </c:pt>
                <c:pt idx="4">
                  <c:v>1293</c:v>
                </c:pt>
                <c:pt idx="5">
                  <c:v>1292</c:v>
                </c:pt>
                <c:pt idx="6">
                  <c:v>1284</c:v>
                </c:pt>
                <c:pt idx="7">
                  <c:v>1278</c:v>
                </c:pt>
                <c:pt idx="8">
                  <c:v>1279</c:v>
                </c:pt>
                <c:pt idx="9">
                  <c:v>1248</c:v>
                </c:pt>
              </c:numCache>
            </c:numRef>
          </c:val>
          <c:extLst xmlns:c16r2="http://schemas.microsoft.com/office/drawing/2015/06/chart">
            <c:ext xmlns:c16="http://schemas.microsoft.com/office/drawing/2014/chart" uri="{C3380CC4-5D6E-409C-BE32-E72D297353CC}">
              <c16:uniqueId val="{00000005-E3E6-4938-9F11-497B42E4ED7D}"/>
            </c:ext>
          </c:extLst>
        </c:ser>
        <c:ser>
          <c:idx val="6"/>
          <c:order val="4"/>
          <c:tx>
            <c:strRef>
              <c:f>Basisdaten!$G$1</c:f>
              <c:strCache>
                <c:ptCount val="1"/>
                <c:pt idx="0">
                  <c:v>Gemeinde 5</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Basisdaten!$G$15:$G$24</c:f>
              <c:numCache>
                <c:formatCode>General</c:formatCode>
                <c:ptCount val="10"/>
                <c:pt idx="0">
                  <c:v>4250</c:v>
                </c:pt>
                <c:pt idx="1">
                  <c:v>4306</c:v>
                </c:pt>
                <c:pt idx="2">
                  <c:v>4338</c:v>
                </c:pt>
                <c:pt idx="3">
                  <c:v>4427</c:v>
                </c:pt>
                <c:pt idx="4">
                  <c:v>4452</c:v>
                </c:pt>
                <c:pt idx="5">
                  <c:v>4516</c:v>
                </c:pt>
                <c:pt idx="6">
                  <c:v>4560</c:v>
                </c:pt>
                <c:pt idx="7">
                  <c:v>4523</c:v>
                </c:pt>
                <c:pt idx="8">
                  <c:v>4514</c:v>
                </c:pt>
                <c:pt idx="9">
                  <c:v>4626</c:v>
                </c:pt>
              </c:numCache>
            </c:numRef>
          </c:val>
          <c:extLst xmlns:c16r2="http://schemas.microsoft.com/office/drawing/2015/06/chart">
            <c:ext xmlns:c16="http://schemas.microsoft.com/office/drawing/2014/chart" uri="{C3380CC4-5D6E-409C-BE32-E72D297353CC}">
              <c16:uniqueId val="{00000006-E3E6-4938-9F11-497B42E4ED7D}"/>
            </c:ext>
          </c:extLst>
        </c:ser>
        <c:ser>
          <c:idx val="7"/>
          <c:order val="5"/>
          <c:tx>
            <c:strRef>
              <c:f>Basisdaten!$H$1</c:f>
              <c:strCache>
                <c:ptCount val="1"/>
                <c:pt idx="0">
                  <c:v>Gemeinde 6</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Basisdaten!$H$15:$H$24</c:f>
              <c:numCache>
                <c:formatCode>General</c:formatCode>
                <c:ptCount val="10"/>
                <c:pt idx="0">
                  <c:v>1582</c:v>
                </c:pt>
                <c:pt idx="1">
                  <c:v>1618</c:v>
                </c:pt>
                <c:pt idx="2">
                  <c:v>1608</c:v>
                </c:pt>
                <c:pt idx="3">
                  <c:v>1598</c:v>
                </c:pt>
                <c:pt idx="4">
                  <c:v>1595</c:v>
                </c:pt>
                <c:pt idx="5">
                  <c:v>1604</c:v>
                </c:pt>
                <c:pt idx="6">
                  <c:v>1572</c:v>
                </c:pt>
                <c:pt idx="7">
                  <c:v>1573</c:v>
                </c:pt>
                <c:pt idx="8">
                  <c:v>1571</c:v>
                </c:pt>
                <c:pt idx="9">
                  <c:v>1577</c:v>
                </c:pt>
              </c:numCache>
            </c:numRef>
          </c:val>
          <c:extLst xmlns:c16r2="http://schemas.microsoft.com/office/drawing/2015/06/chart">
            <c:ext xmlns:c16="http://schemas.microsoft.com/office/drawing/2014/chart" uri="{C3380CC4-5D6E-409C-BE32-E72D297353CC}">
              <c16:uniqueId val="{00000007-E3E6-4938-9F11-497B42E4ED7D}"/>
            </c:ext>
          </c:extLst>
        </c:ser>
        <c:ser>
          <c:idx val="8"/>
          <c:order val="6"/>
          <c:tx>
            <c:strRef>
              <c:f>Basisdaten!$I$1</c:f>
              <c:strCache>
                <c:ptCount val="1"/>
                <c:pt idx="0">
                  <c:v>Gemeinde 7</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Basisdaten!$I$15:$I$24</c:f>
              <c:numCache>
                <c:formatCode>General</c:formatCode>
                <c:ptCount val="10"/>
                <c:pt idx="0">
                  <c:v>4395</c:v>
                </c:pt>
                <c:pt idx="1">
                  <c:v>4482</c:v>
                </c:pt>
                <c:pt idx="2">
                  <c:v>4548</c:v>
                </c:pt>
                <c:pt idx="3">
                  <c:v>4544</c:v>
                </c:pt>
                <c:pt idx="4">
                  <c:v>4610</c:v>
                </c:pt>
                <c:pt idx="5">
                  <c:v>4663</c:v>
                </c:pt>
                <c:pt idx="6">
                  <c:v>4701</c:v>
                </c:pt>
                <c:pt idx="7">
                  <c:v>4657</c:v>
                </c:pt>
                <c:pt idx="8">
                  <c:v>4708</c:v>
                </c:pt>
                <c:pt idx="9">
                  <c:v>4715</c:v>
                </c:pt>
              </c:numCache>
            </c:numRef>
          </c:val>
          <c:extLst xmlns:c16r2="http://schemas.microsoft.com/office/drawing/2015/06/chart">
            <c:ext xmlns:c16="http://schemas.microsoft.com/office/drawing/2014/chart" uri="{C3380CC4-5D6E-409C-BE32-E72D297353CC}">
              <c16:uniqueId val="{00000008-E3E6-4938-9F11-497B42E4ED7D}"/>
            </c:ext>
          </c:extLst>
        </c:ser>
        <c:ser>
          <c:idx val="9"/>
          <c:order val="7"/>
          <c:tx>
            <c:strRef>
              <c:f>Basisdaten!$J$1</c:f>
              <c:strCache>
                <c:ptCount val="1"/>
                <c:pt idx="0">
                  <c:v>Gemeinde 8</c:v>
                </c:pt>
              </c:strCache>
            </c:strRef>
          </c:tx>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Basisdaten!$J$15:$J$24</c:f>
            </c:numRef>
          </c:val>
          <c:extLst xmlns:c16r2="http://schemas.microsoft.com/office/drawing/2015/06/chart">
            <c:ext xmlns:c16="http://schemas.microsoft.com/office/drawing/2014/chart" uri="{C3380CC4-5D6E-409C-BE32-E72D297353CC}">
              <c16:uniqueId val="{00000009-E3E6-4938-9F11-497B42E4ED7D}"/>
            </c:ext>
          </c:extLst>
        </c:ser>
        <c:ser>
          <c:idx val="10"/>
          <c:order val="8"/>
          <c:tx>
            <c:strRef>
              <c:f>Basisdaten!$K$1</c:f>
              <c:strCache>
                <c:ptCount val="1"/>
                <c:pt idx="0">
                  <c:v>Gemeinde 9</c:v>
                </c:pt>
              </c:strCache>
            </c:strRef>
          </c:tx>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Basisdaten!$K$15:$K$24</c:f>
            </c:numRef>
          </c:val>
          <c:extLst xmlns:c16r2="http://schemas.microsoft.com/office/drawing/2015/06/chart">
            <c:ext xmlns:c16="http://schemas.microsoft.com/office/drawing/2014/chart" uri="{C3380CC4-5D6E-409C-BE32-E72D297353CC}">
              <c16:uniqueId val="{0000000A-E3E6-4938-9F11-497B42E4ED7D}"/>
            </c:ext>
          </c:extLst>
        </c:ser>
        <c:ser>
          <c:idx val="11"/>
          <c:order val="9"/>
          <c:tx>
            <c:strRef>
              <c:f>Basisdaten!$L$1</c:f>
              <c:strCache>
                <c:ptCount val="1"/>
                <c:pt idx="0">
                  <c:v>Gemeinde 10</c:v>
                </c:pt>
              </c:strCache>
            </c:strRef>
          </c:tx>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Basisdaten!$L$15:$L$24</c:f>
            </c:numRef>
          </c:val>
          <c:extLst xmlns:c16r2="http://schemas.microsoft.com/office/drawing/2015/06/chart">
            <c:ext xmlns:c16="http://schemas.microsoft.com/office/drawing/2014/chart" uri="{C3380CC4-5D6E-409C-BE32-E72D297353CC}">
              <c16:uniqueId val="{00000016-E3E6-4938-9F11-497B42E4ED7D}"/>
            </c:ext>
          </c:extLst>
        </c:ser>
        <c:ser>
          <c:idx val="12"/>
          <c:order val="10"/>
          <c:tx>
            <c:strRef>
              <c:f>Basisdaten!$M$1</c:f>
              <c:strCache>
                <c:ptCount val="1"/>
                <c:pt idx="0">
                  <c:v>Gemeinde 11</c:v>
                </c:pt>
              </c:strCache>
            </c:strRef>
          </c:tx>
          <c:invertIfNegative val="0"/>
          <c:dLbls>
            <c:spPr>
              <a:noFill/>
              <a:ln>
                <a:noFill/>
              </a:ln>
              <a:effectLst/>
            </c:spPr>
            <c:txPr>
              <a:bodyPr rot="0" vert="horz"/>
              <a:lstStyle/>
              <a:p>
                <a:pPr>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Basisdaten!$M$15:$M$24</c:f>
            </c:numRef>
          </c:val>
          <c:extLst xmlns:c16r2="http://schemas.microsoft.com/office/drawing/2015/06/chart">
            <c:ext xmlns:c16="http://schemas.microsoft.com/office/drawing/2014/chart" uri="{C3380CC4-5D6E-409C-BE32-E72D297353CC}">
              <c16:uniqueId val="{00000017-E3E6-4938-9F11-497B42E4ED7D}"/>
            </c:ext>
          </c:extLst>
        </c:ser>
        <c:ser>
          <c:idx val="13"/>
          <c:order val="11"/>
          <c:tx>
            <c:strRef>
              <c:f>Basisdaten!$O$3</c:f>
              <c:strCache>
                <c:ptCount val="1"/>
                <c:pt idx="0">
                  <c:v>in %</c:v>
                </c:pt>
              </c:strCache>
            </c:strRef>
          </c:tx>
          <c:spPr>
            <a:solidFill>
              <a:srgbClr val="FF0000"/>
            </a:solidFill>
            <a:ln>
              <a:noFill/>
            </a:ln>
            <a:effectLst>
              <a:outerShdw blurRad="57150" dist="19050" dir="5400000" algn="ctr" rotWithShape="0">
                <a:srgbClr val="000000">
                  <a:alpha val="63000"/>
                </a:srgbClr>
              </a:outerShdw>
            </a:effectLst>
          </c:spPr>
          <c:invertIfNegative val="0"/>
          <c:dLbls>
            <c:spPr>
              <a:noFill/>
              <a:ln>
                <a:noFill/>
              </a:ln>
              <a:effectLst/>
            </c:spPr>
            <c:txPr>
              <a:bodyPr rot="0" vert="horz"/>
              <a:lstStyle/>
              <a:p>
                <a:pPr>
                  <a:defRPr b="1">
                    <a:solidFill>
                      <a:srgbClr val="FF0000"/>
                    </a:solidFill>
                  </a:defRPr>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lt1">
                          <a:lumMod val="95000"/>
                          <a:alpha val="54000"/>
                        </a:schemeClr>
                      </a:solidFill>
                    </a:ln>
                    <a:effectLst/>
                  </c:spPr>
                </c15:leaderLines>
              </c:ext>
            </c:extLst>
          </c:dLbls>
          <c:cat>
            <c:strRef>
              <c:f>Basisdaten!$B$15:$B$24</c:f>
              <c:strCache>
                <c:ptCount val="10"/>
                <c:pt idx="0">
                  <c:v>Mitglieder Anzahl 2015</c:v>
                </c:pt>
                <c:pt idx="1">
                  <c:v>Mitglieder Anzahl 2014</c:v>
                </c:pt>
                <c:pt idx="2">
                  <c:v>Mitglieder Anzahl 2013</c:v>
                </c:pt>
                <c:pt idx="3">
                  <c:v>Mitglieder Anzahl 2012</c:v>
                </c:pt>
                <c:pt idx="4">
                  <c:v>Mitglieder Anzahl 2011</c:v>
                </c:pt>
                <c:pt idx="5">
                  <c:v>Mitglieder Anzahl 2010</c:v>
                </c:pt>
                <c:pt idx="6">
                  <c:v>Mitglieder Anzahl 2009</c:v>
                </c:pt>
                <c:pt idx="7">
                  <c:v>Mitglieder Anzahl 2008</c:v>
                </c:pt>
                <c:pt idx="8">
                  <c:v>Mitglieder Anzahl 2007</c:v>
                </c:pt>
                <c:pt idx="9">
                  <c:v>Mitglieder Anzahl 2006</c:v>
                </c:pt>
              </c:strCache>
            </c:strRef>
          </c:cat>
          <c:val>
            <c:numRef>
              <c:f>Basisdaten!$O$15:$O$24</c:f>
              <c:numCache>
                <c:formatCode>0.0%</c:formatCode>
                <c:ptCount val="10"/>
                <c:pt idx="0">
                  <c:v>1</c:v>
                </c:pt>
                <c:pt idx="1">
                  <c:v>0.95812112488928258</c:v>
                </c:pt>
                <c:pt idx="2">
                  <c:v>0.96661868910540305</c:v>
                </c:pt>
                <c:pt idx="3">
                  <c:v>0.97531000885739594</c:v>
                </c:pt>
                <c:pt idx="4">
                  <c:v>0.98333702391496902</c:v>
                </c:pt>
                <c:pt idx="5">
                  <c:v>0.99097652790079716</c:v>
                </c:pt>
                <c:pt idx="6">
                  <c:v>0.9974811780336581</c:v>
                </c:pt>
                <c:pt idx="7">
                  <c:v>0.99858835252435785</c:v>
                </c:pt>
                <c:pt idx="8">
                  <c:v>1.0008857395925599</c:v>
                </c:pt>
                <c:pt idx="9">
                  <c:v>1</c:v>
                </c:pt>
              </c:numCache>
            </c:numRef>
          </c:val>
          <c:extLst xmlns:c16r2="http://schemas.microsoft.com/office/drawing/2015/06/chart">
            <c:ext xmlns:c16="http://schemas.microsoft.com/office/drawing/2014/chart" uri="{C3380CC4-5D6E-409C-BE32-E72D297353CC}">
              <c16:uniqueId val="{00000018-E3E6-4938-9F11-497B42E4ED7D}"/>
            </c:ext>
          </c:extLst>
        </c:ser>
        <c:dLbls>
          <c:showLegendKey val="0"/>
          <c:showVal val="1"/>
          <c:showCatName val="0"/>
          <c:showSerName val="0"/>
          <c:showPercent val="0"/>
          <c:showBubbleSize val="0"/>
        </c:dLbls>
        <c:gapWidth val="95"/>
        <c:overlap val="100"/>
        <c:axId val="255605760"/>
        <c:axId val="255611648"/>
      </c:barChart>
      <c:catAx>
        <c:axId val="2556057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vert="horz"/>
          <a:lstStyle/>
          <a:p>
            <a:pPr>
              <a:defRPr/>
            </a:pPr>
            <a:endParaRPr lang="de-DE"/>
          </a:p>
        </c:txPr>
        <c:crossAx val="255611648"/>
        <c:crosses val="autoZero"/>
        <c:auto val="1"/>
        <c:lblAlgn val="ctr"/>
        <c:lblOffset val="100"/>
        <c:noMultiLvlLbl val="0"/>
      </c:catAx>
      <c:valAx>
        <c:axId val="255611648"/>
        <c:scaling>
          <c:orientation val="minMax"/>
        </c:scaling>
        <c:delete val="1"/>
        <c:axPos val="b"/>
        <c:numFmt formatCode="General" sourceLinked="1"/>
        <c:majorTickMark val="none"/>
        <c:minorTickMark val="none"/>
        <c:tickLblPos val="nextTo"/>
        <c:crossAx val="255605760"/>
        <c:crosses val="autoZero"/>
        <c:crossBetween val="between"/>
      </c:valAx>
      <c:spPr>
        <a:noFill/>
        <a:ln>
          <a:noFill/>
        </a:ln>
        <a:effectLst/>
      </c:spPr>
    </c:plotArea>
    <c:legend>
      <c:legendPos val="t"/>
      <c:overlay val="0"/>
      <c:spPr>
        <a:noFill/>
        <a:ln>
          <a:noFill/>
        </a:ln>
        <a:effectLst/>
      </c:spPr>
      <c:txPr>
        <a:bodyPr rot="0" vert="horz"/>
        <a:lstStyle/>
        <a:p>
          <a:pPr>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sz="1200">
          <a:solidFill>
            <a:schemeClr val="bg1"/>
          </a:solidFill>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CH"/>
              <a:t>Mitgliederentwicklung</a:t>
            </a:r>
            <a:r>
              <a:rPr lang="de-CH" baseline="0"/>
              <a:t> 2015 - 2025</a:t>
            </a:r>
            <a:endParaRPr lang="de-CH"/>
          </a:p>
        </c:rich>
      </c:tx>
      <c:overlay val="0"/>
      <c:spPr>
        <a:noFill/>
        <a:ln>
          <a:noFill/>
        </a:ln>
        <a:effectLst/>
      </c:spPr>
    </c:title>
    <c:autoTitleDeleted val="0"/>
    <c:plotArea>
      <c:layout>
        <c:manualLayout>
          <c:layoutTarget val="inner"/>
          <c:xMode val="edge"/>
          <c:yMode val="edge"/>
          <c:x val="0.15294133640753468"/>
          <c:y val="0.13303698997575711"/>
          <c:w val="0.84705866359246529"/>
          <c:h val="0.86696301002424292"/>
        </c:manualLayout>
      </c:layout>
      <c:barChart>
        <c:barDir val="bar"/>
        <c:grouping val="stacked"/>
        <c:varyColors val="0"/>
        <c:ser>
          <c:idx val="2"/>
          <c:order val="0"/>
          <c:tx>
            <c:strRef>
              <c:f>Basisdaten!$C$1</c:f>
              <c:strCache>
                <c:ptCount val="1"/>
                <c:pt idx="0">
                  <c:v>Gemeinde 1</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Basisdaten!$C$5:$C$15</c:f>
              <c:numCache>
                <c:formatCode>0</c:formatCode>
                <c:ptCount val="11"/>
                <c:pt idx="0">
                  <c:v>2241.7739400772075</c:v>
                </c:pt>
                <c:pt idx="1">
                  <c:v>2257.2094026050781</c:v>
                </c:pt>
                <c:pt idx="2">
                  <c:v>2272.7511441377983</c:v>
                </c:pt>
                <c:pt idx="3">
                  <c:v>2288.3998964465641</c:v>
                </c:pt>
                <c:pt idx="4">
                  <c:v>2304.1563963410927</c:v>
                </c:pt>
                <c:pt idx="5">
                  <c:v>2320.0213857043159</c:v>
                </c:pt>
                <c:pt idx="6">
                  <c:v>2335.9956115273103</c:v>
                </c:pt>
                <c:pt idx="7">
                  <c:v>2352.0798259444687</c:v>
                </c:pt>
                <c:pt idx="8">
                  <c:v>2368.2747862689143</c:v>
                </c:pt>
                <c:pt idx="9">
                  <c:v>2384.5812550281576</c:v>
                </c:pt>
                <c:pt idx="10" formatCode="General">
                  <c:v>2401</c:v>
                </c:pt>
              </c:numCache>
              <c:extLst xmlns:c16r2="http://schemas.microsoft.com/office/drawing/2015/06/chart">
                <c:ext xmlns:c15="http://schemas.microsoft.com/office/drawing/2012/chart" uri="{02D57815-91ED-43cb-92C2-25804820EDAC}">
                  <c15:fullRef>
                    <c15:sqref>Basisdaten!$C$5:$C$24</c15:sqref>
                  </c15:fullRef>
                </c:ext>
              </c:extLst>
            </c:numRef>
          </c:val>
          <c:extLst xmlns:c16r2="http://schemas.microsoft.com/office/drawing/2015/06/chart">
            <c:ext xmlns:c16="http://schemas.microsoft.com/office/drawing/2014/chart" uri="{C3380CC4-5D6E-409C-BE32-E72D297353CC}">
              <c16:uniqueId val="{00000000-6C03-4E0D-A012-518AECA4DF75}"/>
            </c:ext>
          </c:extLst>
        </c:ser>
        <c:ser>
          <c:idx val="3"/>
          <c:order val="1"/>
          <c:tx>
            <c:strRef>
              <c:f>Basisdaten!$D$1</c:f>
              <c:strCache>
                <c:ptCount val="1"/>
                <c:pt idx="0">
                  <c:v>Gemeinde 2</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Basisdaten!$D$5:$D$15</c:f>
              <c:numCache>
                <c:formatCode>0</c:formatCode>
                <c:ptCount val="11"/>
                <c:pt idx="0">
                  <c:v>3009.1791910110683</c:v>
                </c:pt>
                <c:pt idx="1">
                  <c:v>3011.5528287085726</c:v>
                </c:pt>
                <c:pt idx="2">
                  <c:v>3013.9283387292458</c:v>
                </c:pt>
                <c:pt idx="3">
                  <c:v>3016.3057225499747</c:v>
                </c:pt>
                <c:pt idx="4">
                  <c:v>3018.6849816488111</c:v>
                </c:pt>
                <c:pt idx="5">
                  <c:v>3021.0661175049727</c:v>
                </c:pt>
                <c:pt idx="6">
                  <c:v>3023.4491315988439</c:v>
                </c:pt>
                <c:pt idx="7">
                  <c:v>3025.8340254119767</c:v>
                </c:pt>
                <c:pt idx="8">
                  <c:v>3028.2208004270915</c:v>
                </c:pt>
                <c:pt idx="9">
                  <c:v>3030.609458128079</c:v>
                </c:pt>
                <c:pt idx="10" formatCode="General">
                  <c:v>3033</c:v>
                </c:pt>
              </c:numCache>
              <c:extLst xmlns:c16r2="http://schemas.microsoft.com/office/drawing/2015/06/chart">
                <c:ext xmlns:c15="http://schemas.microsoft.com/office/drawing/2012/chart" uri="{02D57815-91ED-43cb-92C2-25804820EDAC}">
                  <c15:fullRef>
                    <c15:sqref>Basisdaten!$D$5:$D$24</c15:sqref>
                  </c15:fullRef>
                </c:ext>
              </c:extLst>
            </c:numRef>
          </c:val>
          <c:extLst xmlns:c16r2="http://schemas.microsoft.com/office/drawing/2015/06/chart">
            <c:ext xmlns:c16="http://schemas.microsoft.com/office/drawing/2014/chart" uri="{C3380CC4-5D6E-409C-BE32-E72D297353CC}">
              <c16:uniqueId val="{00000001-6C03-4E0D-A012-518AECA4DF75}"/>
            </c:ext>
          </c:extLst>
        </c:ser>
        <c:ser>
          <c:idx val="4"/>
          <c:order val="2"/>
          <c:tx>
            <c:strRef>
              <c:f>Basisdaten!$E$1</c:f>
              <c:strCache>
                <c:ptCount val="1"/>
                <c:pt idx="0">
                  <c:v>Gemeinde 3</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Basisdaten!$E$5:$E$15</c:f>
              <c:numCache>
                <c:formatCode>0</c:formatCode>
                <c:ptCount val="11"/>
                <c:pt idx="0">
                  <c:v>2650.2368405012858</c:v>
                </c:pt>
                <c:pt idx="1">
                  <c:v>2662.0724484229972</c:v>
                </c:pt>
                <c:pt idx="2">
                  <c:v>2673.9609126074906</c:v>
                </c:pt>
                <c:pt idx="3">
                  <c:v>2685.9024691038594</c:v>
                </c:pt>
                <c:pt idx="4">
                  <c:v>2697.8973550153605</c:v>
                </c:pt>
                <c:pt idx="5">
                  <c:v>2709.9458085041229</c:v>
                </c:pt>
                <c:pt idx="6">
                  <c:v>2722.0480687958757</c:v>
                </c:pt>
                <c:pt idx="7">
                  <c:v>2734.2043761846999</c:v>
                </c:pt>
                <c:pt idx="8">
                  <c:v>2746.4149720377968</c:v>
                </c:pt>
                <c:pt idx="9">
                  <c:v>2758.6800988002824</c:v>
                </c:pt>
                <c:pt idx="10" formatCode="General">
                  <c:v>2771</c:v>
                </c:pt>
              </c:numCache>
              <c:extLst xmlns:c16r2="http://schemas.microsoft.com/office/drawing/2015/06/chart">
                <c:ext xmlns:c15="http://schemas.microsoft.com/office/drawing/2012/chart" uri="{02D57815-91ED-43cb-92C2-25804820EDAC}">
                  <c15:fullRef>
                    <c15:sqref>Basisdaten!$E$5:$E$24</c15:sqref>
                  </c15:fullRef>
                </c:ext>
              </c:extLst>
            </c:numRef>
          </c:val>
          <c:extLst xmlns:c16r2="http://schemas.microsoft.com/office/drawing/2015/06/chart">
            <c:ext xmlns:c16="http://schemas.microsoft.com/office/drawing/2014/chart" uri="{C3380CC4-5D6E-409C-BE32-E72D297353CC}">
              <c16:uniqueId val="{00000002-6C03-4E0D-A012-518AECA4DF75}"/>
            </c:ext>
          </c:extLst>
        </c:ser>
        <c:ser>
          <c:idx val="5"/>
          <c:order val="3"/>
          <c:tx>
            <c:strRef>
              <c:f>Basisdaten!$F$1</c:f>
              <c:strCache>
                <c:ptCount val="1"/>
                <c:pt idx="0">
                  <c:v>Gemeinde 4</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Basisdaten!$F$5:$F$15</c:f>
              <c:numCache>
                <c:formatCode>0</c:formatCode>
                <c:ptCount val="11"/>
                <c:pt idx="0">
                  <c:v>1219.8112515593409</c:v>
                </c:pt>
                <c:pt idx="1">
                  <c:v>1224.5465436849595</c:v>
                </c:pt>
                <c:pt idx="2">
                  <c:v>1229.3002181557863</c:v>
                </c:pt>
                <c:pt idx="3">
                  <c:v>1234.0723463318568</c:v>
                </c:pt>
                <c:pt idx="4">
                  <c:v>1238.8629998502258</c:v>
                </c:pt>
                <c:pt idx="5">
                  <c:v>1243.6722506260419</c:v>
                </c:pt>
                <c:pt idx="6">
                  <c:v>1248.5001708536274</c:v>
                </c:pt>
                <c:pt idx="7">
                  <c:v>1253.3468330075623</c:v>
                </c:pt>
                <c:pt idx="8">
                  <c:v>1258.2123098437717</c:v>
                </c:pt>
                <c:pt idx="9">
                  <c:v>1263.0966744006187</c:v>
                </c:pt>
                <c:pt idx="10" formatCode="General">
                  <c:v>1268</c:v>
                </c:pt>
              </c:numCache>
              <c:extLst xmlns:c16r2="http://schemas.microsoft.com/office/drawing/2015/06/chart">
                <c:ext xmlns:c15="http://schemas.microsoft.com/office/drawing/2012/chart" uri="{02D57815-91ED-43cb-92C2-25804820EDAC}">
                  <c15:fullRef>
                    <c15:sqref>Basisdaten!$F$5:$F$24</c15:sqref>
                  </c15:fullRef>
                </c:ext>
              </c:extLst>
            </c:numRef>
          </c:val>
          <c:extLst xmlns:c16r2="http://schemas.microsoft.com/office/drawing/2015/06/chart">
            <c:ext xmlns:c16="http://schemas.microsoft.com/office/drawing/2014/chart" uri="{C3380CC4-5D6E-409C-BE32-E72D297353CC}">
              <c16:uniqueId val="{00000003-6C03-4E0D-A012-518AECA4DF75}"/>
            </c:ext>
          </c:extLst>
        </c:ser>
        <c:ser>
          <c:idx val="6"/>
          <c:order val="4"/>
          <c:tx>
            <c:strRef>
              <c:f>Basisdaten!$G$1</c:f>
              <c:strCache>
                <c:ptCount val="1"/>
                <c:pt idx="0">
                  <c:v>Gemeinde 5</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Basisdaten!$G$5:$G$15</c:f>
              <c:numCache>
                <c:formatCode>0</c:formatCode>
                <c:ptCount val="11"/>
                <c:pt idx="0">
                  <c:v>3879.704547956354</c:v>
                </c:pt>
                <c:pt idx="1">
                  <c:v>3915.2336221556097</c:v>
                </c:pt>
                <c:pt idx="2">
                  <c:v>3951.0880600772452</c:v>
                </c:pt>
                <c:pt idx="3">
                  <c:v>3987.270841296558</c:v>
                </c:pt>
                <c:pt idx="4">
                  <c:v>4023.7849726748291</c:v>
                </c:pt>
                <c:pt idx="5">
                  <c:v>4060.6334886091981</c:v>
                </c:pt>
                <c:pt idx="6">
                  <c:v>4097.8194512848286</c:v>
                </c:pt>
                <c:pt idx="7">
                  <c:v>4135.3459509293807</c:v>
                </c:pt>
                <c:pt idx="8">
                  <c:v>4173.2161060698163</c:v>
                </c:pt>
                <c:pt idx="9">
                  <c:v>4211.4330637915546</c:v>
                </c:pt>
                <c:pt idx="10" formatCode="General">
                  <c:v>4250</c:v>
                </c:pt>
              </c:numCache>
              <c:extLst xmlns:c16r2="http://schemas.microsoft.com/office/drawing/2015/06/chart">
                <c:ext xmlns:c15="http://schemas.microsoft.com/office/drawing/2012/chart" uri="{02D57815-91ED-43cb-92C2-25804820EDAC}">
                  <c15:fullRef>
                    <c15:sqref>Basisdaten!$G$5:$G$24</c15:sqref>
                  </c15:fullRef>
                </c:ext>
              </c:extLst>
            </c:numRef>
          </c:val>
          <c:extLst xmlns:c16r2="http://schemas.microsoft.com/office/drawing/2015/06/chart">
            <c:ext xmlns:c16="http://schemas.microsoft.com/office/drawing/2014/chart" uri="{C3380CC4-5D6E-409C-BE32-E72D297353CC}">
              <c16:uniqueId val="{00000004-6C03-4E0D-A012-518AECA4DF75}"/>
            </c:ext>
          </c:extLst>
        </c:ser>
        <c:ser>
          <c:idx val="7"/>
          <c:order val="5"/>
          <c:tx>
            <c:strRef>
              <c:f>Basisdaten!$H$1</c:f>
              <c:strCache>
                <c:ptCount val="1"/>
                <c:pt idx="0">
                  <c:v>Gemeinde 6</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Basisdaten!$H$5:$H$15</c:f>
              <c:numCache>
                <c:formatCode>0</c:formatCode>
                <c:ptCount val="11"/>
                <c:pt idx="0">
                  <c:v>1556.4002588128012</c:v>
                </c:pt>
                <c:pt idx="1">
                  <c:v>1558.9414800341735</c:v>
                </c:pt>
                <c:pt idx="2">
                  <c:v>1561.4868504486981</c:v>
                </c:pt>
                <c:pt idx="3">
                  <c:v>1564.036376830993</c:v>
                </c:pt>
                <c:pt idx="4">
                  <c:v>1566.5900659667382</c:v>
                </c:pt>
                <c:pt idx="5">
                  <c:v>1569.1479246526924</c:v>
                </c:pt>
                <c:pt idx="6">
                  <c:v>1571.7099596967121</c:v>
                </c:pt>
                <c:pt idx="7">
                  <c:v>1574.2761779177692</c:v>
                </c:pt>
                <c:pt idx="8">
                  <c:v>1576.8465861459695</c:v>
                </c:pt>
                <c:pt idx="9">
                  <c:v>1579.4211912225705</c:v>
                </c:pt>
                <c:pt idx="10" formatCode="General">
                  <c:v>1582</c:v>
                </c:pt>
              </c:numCache>
              <c:extLst xmlns:c16r2="http://schemas.microsoft.com/office/drawing/2015/06/chart">
                <c:ext xmlns:c15="http://schemas.microsoft.com/office/drawing/2012/chart" uri="{02D57815-91ED-43cb-92C2-25804820EDAC}">
                  <c15:fullRef>
                    <c15:sqref>Basisdaten!$H$5:$H$24</c15:sqref>
                  </c15:fullRef>
                </c:ext>
              </c:extLst>
            </c:numRef>
          </c:val>
          <c:extLst xmlns:c16r2="http://schemas.microsoft.com/office/drawing/2015/06/chart">
            <c:ext xmlns:c16="http://schemas.microsoft.com/office/drawing/2014/chart" uri="{C3380CC4-5D6E-409C-BE32-E72D297353CC}">
              <c16:uniqueId val="{00000005-6C03-4E0D-A012-518AECA4DF75}"/>
            </c:ext>
          </c:extLst>
        </c:ser>
        <c:ser>
          <c:idx val="8"/>
          <c:order val="6"/>
          <c:tx>
            <c:strRef>
              <c:f>Basisdaten!$I$1</c:f>
              <c:strCache>
                <c:ptCount val="1"/>
                <c:pt idx="0">
                  <c:v>Gemeinde 7</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Basisdaten!$I$5:$I$15</c:f>
              <c:numCache>
                <c:formatCode>0</c:formatCode>
                <c:ptCount val="11"/>
                <c:pt idx="0">
                  <c:v>4001.8401909992776</c:v>
                </c:pt>
                <c:pt idx="1">
                  <c:v>4039.5190016436763</c:v>
                </c:pt>
                <c:pt idx="2">
                  <c:v>4077.5525722744355</c:v>
                </c:pt>
                <c:pt idx="3">
                  <c:v>4115.9442430884928</c:v>
                </c:pt>
                <c:pt idx="4">
                  <c:v>4154.6973857319799</c:v>
                </c:pt>
                <c:pt idx="5">
                  <c:v>4193.8154035963271</c:v>
                </c:pt>
                <c:pt idx="6">
                  <c:v>4233.3017321171592</c:v>
                </c:pt>
                <c:pt idx="7">
                  <c:v>4273.1598390760028</c:v>
                </c:pt>
                <c:pt idx="8">
                  <c:v>4313.393224904833</c:v>
                </c:pt>
                <c:pt idx="9">
                  <c:v>4354.0054229934922</c:v>
                </c:pt>
                <c:pt idx="10" formatCode="General">
                  <c:v>4395</c:v>
                </c:pt>
              </c:numCache>
              <c:extLst xmlns:c16r2="http://schemas.microsoft.com/office/drawing/2015/06/chart">
                <c:ext xmlns:c15="http://schemas.microsoft.com/office/drawing/2012/chart" uri="{02D57815-91ED-43cb-92C2-25804820EDAC}">
                  <c15:fullRef>
                    <c15:sqref>Basisdaten!$I$5:$I$24</c15:sqref>
                  </c15:fullRef>
                </c:ext>
              </c:extLst>
            </c:numRef>
          </c:val>
          <c:extLst xmlns:c16r2="http://schemas.microsoft.com/office/drawing/2015/06/chart">
            <c:ext xmlns:c16="http://schemas.microsoft.com/office/drawing/2014/chart" uri="{C3380CC4-5D6E-409C-BE32-E72D297353CC}">
              <c16:uniqueId val="{00000006-6C03-4E0D-A012-518AECA4DF75}"/>
            </c:ext>
          </c:extLst>
        </c:ser>
        <c:ser>
          <c:idx val="9"/>
          <c:order val="7"/>
          <c:tx>
            <c:strRef>
              <c:f>Basisdaten!$J$1</c:f>
              <c:strCache>
                <c:ptCount val="1"/>
                <c:pt idx="0">
                  <c:v>Gemeinde 8</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Basisdaten!$J$5:$J$15</c:f>
              <c:extLst xmlns:c16r2="http://schemas.microsoft.com/office/drawing/2015/06/chart">
                <c:ext xmlns:c15="http://schemas.microsoft.com/office/drawing/2012/chart" uri="{02D57815-91ED-43cb-92C2-25804820EDAC}">
                  <c15:fullRef>
                    <c15:sqref>Basisdaten!$J$5:$J$24</c15:sqref>
                  </c15:fullRef>
                </c:ext>
              </c:extLst>
            </c:numRef>
          </c:val>
          <c:extLst xmlns:c16r2="http://schemas.microsoft.com/office/drawing/2015/06/chart">
            <c:ext xmlns:c16="http://schemas.microsoft.com/office/drawing/2014/chart" uri="{C3380CC4-5D6E-409C-BE32-E72D297353CC}">
              <c16:uniqueId val="{00000007-6C03-4E0D-A012-518AECA4DF75}"/>
            </c:ext>
          </c:extLst>
        </c:ser>
        <c:ser>
          <c:idx val="10"/>
          <c:order val="8"/>
          <c:tx>
            <c:strRef>
              <c:f>Basisdaten!$K$1</c:f>
              <c:strCache>
                <c:ptCount val="1"/>
                <c:pt idx="0">
                  <c:v>Gemeinde 9</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Basisdaten!$K$5:$K$15</c:f>
              <c:extLst xmlns:c16r2="http://schemas.microsoft.com/office/drawing/2015/06/chart">
                <c:ext xmlns:c15="http://schemas.microsoft.com/office/drawing/2012/chart" uri="{02D57815-91ED-43cb-92C2-25804820EDAC}">
                  <c15:fullRef>
                    <c15:sqref>Basisdaten!$K$5:$K$24</c15:sqref>
                  </c15:fullRef>
                </c:ext>
              </c:extLst>
            </c:numRef>
          </c:val>
          <c:extLst xmlns:c16r2="http://schemas.microsoft.com/office/drawing/2015/06/chart">
            <c:ext xmlns:c16="http://schemas.microsoft.com/office/drawing/2014/chart" uri="{C3380CC4-5D6E-409C-BE32-E72D297353CC}">
              <c16:uniqueId val="{00000008-6C03-4E0D-A012-518AECA4DF75}"/>
            </c:ext>
          </c:extLst>
        </c:ser>
        <c:ser>
          <c:idx val="11"/>
          <c:order val="9"/>
          <c:tx>
            <c:strRef>
              <c:f>Basisdaten!$L$1</c:f>
              <c:strCache>
                <c:ptCount val="1"/>
                <c:pt idx="0">
                  <c:v>Gemeinde 10</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Basisdaten!$L$5:$L$15</c:f>
              <c:extLst xmlns:c16r2="http://schemas.microsoft.com/office/drawing/2015/06/chart">
                <c:ext xmlns:c15="http://schemas.microsoft.com/office/drawing/2012/chart" uri="{02D57815-91ED-43cb-92C2-25804820EDAC}">
                  <c15:fullRef>
                    <c15:sqref>Basisdaten!$L$5:$L$24</c15:sqref>
                  </c15:fullRef>
                </c:ext>
              </c:extLst>
            </c:numRef>
          </c:val>
          <c:extLst xmlns:c16r2="http://schemas.microsoft.com/office/drawing/2015/06/chart">
            <c:ext xmlns:c16="http://schemas.microsoft.com/office/drawing/2014/chart" uri="{C3380CC4-5D6E-409C-BE32-E72D297353CC}">
              <c16:uniqueId val="{00000009-6C03-4E0D-A012-518AECA4DF75}"/>
            </c:ext>
          </c:extLst>
        </c:ser>
        <c:ser>
          <c:idx val="12"/>
          <c:order val="10"/>
          <c:tx>
            <c:strRef>
              <c:f>Basisdaten!$M$1</c:f>
              <c:strCache>
                <c:ptCount val="1"/>
                <c:pt idx="0">
                  <c:v>Gemeinde 11</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Basisdaten!$B$5:$B$15</c:f>
              <c:strCache>
                <c:ptCount val="11"/>
                <c:pt idx="0">
                  <c:v>2025</c:v>
                </c:pt>
                <c:pt idx="1">
                  <c:v>2024</c:v>
                </c:pt>
                <c:pt idx="2">
                  <c:v>2023</c:v>
                </c:pt>
                <c:pt idx="3">
                  <c:v>2022</c:v>
                </c:pt>
                <c:pt idx="4">
                  <c:v>2021</c:v>
                </c:pt>
                <c:pt idx="5">
                  <c:v>2020</c:v>
                </c:pt>
                <c:pt idx="6">
                  <c:v>2019</c:v>
                </c:pt>
                <c:pt idx="7">
                  <c:v>2018</c:v>
                </c:pt>
                <c:pt idx="8">
                  <c:v>2017</c:v>
                </c:pt>
                <c:pt idx="9">
                  <c:v>2016</c:v>
                </c:pt>
                <c:pt idx="10">
                  <c:v>Mitglieder Anzahl 2015</c:v>
                </c:pt>
              </c:strCache>
              <c:extLst xmlns:c16r2="http://schemas.microsoft.com/office/drawing/2015/06/chart">
                <c:ext xmlns:c15="http://schemas.microsoft.com/office/drawing/2012/chart" uri="{02D57815-91ED-43cb-92C2-25804820EDAC}">
                  <c15:fullRef>
                    <c15:sqref>Basisdaten!$B$5:$B$24</c15:sqref>
                  </c15:fullRef>
                </c:ext>
              </c:extLst>
            </c:strRef>
          </c:cat>
          <c:val>
            <c:numRef>
              <c:f>Basisdaten!$M$5:$M$15</c:f>
              <c:extLst xmlns:c16r2="http://schemas.microsoft.com/office/drawing/2015/06/chart">
                <c:ext xmlns:c15="http://schemas.microsoft.com/office/drawing/2012/chart" uri="{02D57815-91ED-43cb-92C2-25804820EDAC}">
                  <c15:fullRef>
                    <c15:sqref>Basisdaten!$M$5:$M$24</c15:sqref>
                  </c15:fullRef>
                </c:ext>
              </c:extLst>
            </c:numRef>
          </c:val>
          <c:extLst xmlns:c16r2="http://schemas.microsoft.com/office/drawing/2015/06/chart">
            <c:ext xmlns:c16="http://schemas.microsoft.com/office/drawing/2014/chart" uri="{C3380CC4-5D6E-409C-BE32-E72D297353CC}">
              <c16:uniqueId val="{0000000A-6C03-4E0D-A012-518AECA4DF75}"/>
            </c:ext>
          </c:extLst>
        </c:ser>
        <c:ser>
          <c:idx val="0"/>
          <c:order val="11"/>
          <c:tx>
            <c:strRef>
              <c:f>Basisdaten!$O$3</c:f>
              <c:strCache>
                <c:ptCount val="1"/>
                <c:pt idx="0">
                  <c:v>in %</c:v>
                </c:pt>
              </c:strCache>
            </c:strRef>
          </c:tx>
          <c:invertIfNegative val="0"/>
          <c:dLbls>
            <c:spPr>
              <a:noFill/>
              <a:ln>
                <a:noFill/>
              </a:ln>
              <a:effectLst/>
            </c:spPr>
            <c:txPr>
              <a:bodyPr wrap="square" lIns="38100" tIns="19050" rIns="38100" bIns="19050" anchor="ctr">
                <a:spAutoFit/>
              </a:bodyPr>
              <a:lstStyle/>
              <a:p>
                <a:pPr>
                  <a:defRPr sz="1200" b="1">
                    <a:solidFill>
                      <a:srgbClr val="FF0000"/>
                    </a:solidFill>
                  </a:defRPr>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20"/>
              <c:pt idx="0">
                <c:v>2025</c:v>
              </c:pt>
              <c:pt idx="1">
                <c:v>2024</c:v>
              </c:pt>
              <c:pt idx="2">
                <c:v>2023</c:v>
              </c:pt>
              <c:pt idx="3">
                <c:v>2022</c:v>
              </c:pt>
              <c:pt idx="4">
                <c:v>2021</c:v>
              </c:pt>
              <c:pt idx="5">
                <c:v>2020</c:v>
              </c:pt>
              <c:pt idx="6">
                <c:v>2019</c:v>
              </c:pt>
              <c:pt idx="7">
                <c:v>2018</c:v>
              </c:pt>
              <c:pt idx="8">
                <c:v>2017</c:v>
              </c:pt>
              <c:pt idx="9">
                <c:v>2016</c:v>
              </c:pt>
              <c:pt idx="10">
                <c:v>Mitglieder Anzahl 2015</c:v>
              </c:pt>
              <c:pt idx="11">
                <c:v>Mitglieder Anzahl 2014</c:v>
              </c:pt>
              <c:pt idx="12">
                <c:v>Mitglieder Anzahl 2013</c:v>
              </c:pt>
              <c:pt idx="13">
                <c:v>Mitglieder Anzahl 2012</c:v>
              </c:pt>
              <c:pt idx="14">
                <c:v>Mitglieder Anzahl 2011</c:v>
              </c:pt>
              <c:pt idx="15">
                <c:v>Mitglieder Anzahl 2010</c:v>
              </c:pt>
              <c:pt idx="16">
                <c:v>Mitglieder Anzahl 2009</c:v>
              </c:pt>
              <c:pt idx="17">
                <c:v>Mitglieder Anzahl 2008</c:v>
              </c:pt>
              <c:pt idx="18">
                <c:v>Mitglieder Anzahl 2007</c:v>
              </c:pt>
              <c:pt idx="19">
                <c:v>Mitglieder Anzahl 2006</c:v>
              </c:pt>
              <c:extLst>
                <c:ext xmlns:c15="http://schemas.microsoft.com/office/drawing/2012/chart" uri="{02D57815-91ED-43cb-92C2-25804820EDAC}">
                  <c15:autoCat val="1"/>
                </c:ext>
              </c:extLst>
            </c:strLit>
          </c:cat>
          <c:val>
            <c:numRef>
              <c:f>Basisdaten!$O$5:$O$15</c:f>
              <c:numCache>
                <c:formatCode>0.0%</c:formatCode>
                <c:ptCount val="11"/>
                <c:pt idx="0">
                  <c:v>0.92577187072334666</c:v>
                </c:pt>
                <c:pt idx="1">
                  <c:v>0.93285314828153099</c:v>
                </c:pt>
                <c:pt idx="2">
                  <c:v>0.94000794954210676</c:v>
                </c:pt>
                <c:pt idx="3">
                  <c:v>0.94723714377095525</c:v>
                </c:pt>
                <c:pt idx="4">
                  <c:v>0.95454161181647978</c:v>
                </c:pt>
                <c:pt idx="5">
                  <c:v>0.96192224627747902</c:v>
                </c:pt>
                <c:pt idx="6">
                  <c:v>0.96937995167360724</c:v>
                </c:pt>
                <c:pt idx="7">
                  <c:v>0.9769156446184547</c:v>
                </c:pt>
                <c:pt idx="8">
                  <c:v>0.98453025399529726</c:v>
                </c:pt>
                <c:pt idx="9">
                  <c:v>0.9922247211355546</c:v>
                </c:pt>
                <c:pt idx="10">
                  <c:v>1</c:v>
                </c:pt>
              </c:numCache>
              <c:extLst xmlns:c16r2="http://schemas.microsoft.com/office/drawing/2015/06/chart">
                <c:ext xmlns:c15="http://schemas.microsoft.com/office/drawing/2012/chart" uri="{02D57815-91ED-43cb-92C2-25804820EDAC}">
                  <c15:fullRef>
                    <c15:sqref>Basisdaten!$O$5:$O$15</c15:sqref>
                  </c15:fullRef>
                </c:ext>
              </c:extLst>
            </c:numRef>
          </c:val>
          <c:extLst xmlns:c16r2="http://schemas.microsoft.com/office/drawing/2015/06/chart">
            <c:ext xmlns:c16="http://schemas.microsoft.com/office/drawing/2014/chart" uri="{C3380CC4-5D6E-409C-BE32-E72D297353CC}">
              <c16:uniqueId val="{00000000-E65D-4E1C-9DC2-55B099AB6824}"/>
            </c:ext>
          </c:extLst>
        </c:ser>
        <c:dLbls>
          <c:showLegendKey val="0"/>
          <c:showVal val="1"/>
          <c:showCatName val="0"/>
          <c:showSerName val="0"/>
          <c:showPercent val="0"/>
          <c:showBubbleSize val="0"/>
        </c:dLbls>
        <c:gapWidth val="95"/>
        <c:overlap val="100"/>
        <c:axId val="256164992"/>
        <c:axId val="256166528"/>
      </c:barChart>
      <c:catAx>
        <c:axId val="256164992"/>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050" b="0" i="0" u="none" strike="noStrike" kern="1200" baseline="0">
                <a:solidFill>
                  <a:schemeClr val="lt1">
                    <a:lumMod val="85000"/>
                  </a:schemeClr>
                </a:solidFill>
                <a:latin typeface="+mn-lt"/>
                <a:ea typeface="+mn-ea"/>
                <a:cs typeface="+mn-cs"/>
              </a:defRPr>
            </a:pPr>
            <a:endParaRPr lang="de-DE"/>
          </a:p>
        </c:txPr>
        <c:crossAx val="256166528"/>
        <c:crosses val="autoZero"/>
        <c:auto val="1"/>
        <c:lblAlgn val="ctr"/>
        <c:lblOffset val="100"/>
        <c:noMultiLvlLbl val="0"/>
      </c:catAx>
      <c:valAx>
        <c:axId val="256166528"/>
        <c:scaling>
          <c:orientation val="minMax"/>
        </c:scaling>
        <c:delete val="1"/>
        <c:axPos val="b"/>
        <c:numFmt formatCode="0" sourceLinked="1"/>
        <c:majorTickMark val="none"/>
        <c:minorTickMark val="none"/>
        <c:tickLblPos val="nextTo"/>
        <c:crossAx val="256164992"/>
        <c:crosses val="autoZero"/>
        <c:crossBetween val="between"/>
      </c:valAx>
      <c:spPr>
        <a:noFill/>
        <a:ln>
          <a:noFill/>
        </a:ln>
        <a:effectLst/>
      </c:spPr>
    </c:plotArea>
    <c:legend>
      <c:legendPos val="t"/>
      <c:layout>
        <c:manualLayout>
          <c:xMode val="edge"/>
          <c:yMode val="edge"/>
          <c:x val="4.1291490842650186E-2"/>
          <c:y val="7.223849372384937E-2"/>
          <c:w val="0.65294458859878357"/>
          <c:h val="4.406712817268251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CH"/>
              <a:t>Mitglieder-Rückgang in %</a:t>
            </a:r>
          </a:p>
        </c:rich>
      </c:tx>
      <c:overlay val="0"/>
      <c:spPr>
        <a:noFill/>
        <a:ln>
          <a:noFill/>
        </a:ln>
        <a:effectLst/>
      </c:spPr>
    </c:title>
    <c:autoTitleDeleted val="0"/>
    <c:plotArea>
      <c:layout/>
      <c:lineChart>
        <c:grouping val="standard"/>
        <c:varyColors val="0"/>
        <c:ser>
          <c:idx val="0"/>
          <c:order val="0"/>
          <c:tx>
            <c:strRef>
              <c:f>Mitglieder!$B$25</c:f>
              <c:strCache>
                <c:ptCount val="1"/>
                <c:pt idx="0">
                  <c:v>Rückgang in %</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t" anchorCtr="0">
                <a:spAutoFit/>
              </a:bodyPr>
              <a:lstStyle/>
              <a:p>
                <a:pPr>
                  <a:defRPr sz="1600" b="1" i="0" u="none" strike="noStrike" kern="1200" baseline="0">
                    <a:solidFill>
                      <a:srgbClr val="FF0000"/>
                    </a:solidFill>
                    <a:latin typeface="+mn-lt"/>
                    <a:ea typeface="+mn-ea"/>
                    <a:cs typeface="+mn-cs"/>
                  </a:defRPr>
                </a:pPr>
                <a:endParaRPr lang="de-DE"/>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Mitglieder!$A$26:$A$35</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Mitglieder!$B$26:$B$35</c:f>
              <c:numCache>
                <c:formatCode>0.0%</c:formatCode>
                <c:ptCount val="10"/>
                <c:pt idx="0">
                  <c:v>0</c:v>
                </c:pt>
                <c:pt idx="1">
                  <c:v>-8.8573959255988655E-4</c:v>
                </c:pt>
                <c:pt idx="2">
                  <c:v>2.2953539823008517E-3</c:v>
                </c:pt>
                <c:pt idx="3">
                  <c:v>1.1087396402139627E-3</c:v>
                </c:pt>
                <c:pt idx="4">
                  <c:v>6.5210755612287175E-3</c:v>
                </c:pt>
                <c:pt idx="5">
                  <c:v>7.709066532595954E-3</c:v>
                </c:pt>
                <c:pt idx="6">
                  <c:v>8.1630355232786833E-3</c:v>
                </c:pt>
                <c:pt idx="7">
                  <c:v>8.9113406743103196E-3</c:v>
                </c:pt>
                <c:pt idx="8">
                  <c:v>8.7910199874005057E-3</c:v>
                </c:pt>
                <c:pt idx="9">
                  <c:v>1.4126823631373631E-2</c:v>
                </c:pt>
              </c:numCache>
            </c:numRef>
          </c:val>
          <c:smooth val="0"/>
          <c:extLst xmlns:c16r2="http://schemas.microsoft.com/office/drawing/2015/06/chart">
            <c:ext xmlns:c16="http://schemas.microsoft.com/office/drawing/2014/chart" uri="{C3380CC4-5D6E-409C-BE32-E72D297353CC}">
              <c16:uniqueId val="{00000000-FB1E-4EC8-BDD1-CF009E56CAE1}"/>
            </c:ext>
          </c:extLst>
        </c:ser>
        <c:dLbls>
          <c:showLegendKey val="0"/>
          <c:showVal val="0"/>
          <c:showCatName val="0"/>
          <c:showSerName val="0"/>
          <c:showPercent val="0"/>
          <c:showBubbleSize val="0"/>
        </c:dLbls>
        <c:marker val="1"/>
        <c:smooth val="0"/>
        <c:axId val="255898368"/>
        <c:axId val="255899904"/>
      </c:lineChart>
      <c:catAx>
        <c:axId val="255898368"/>
        <c:scaling>
          <c:orientation val="minMax"/>
        </c:scaling>
        <c:delete val="0"/>
        <c:axPos val="b"/>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low"/>
        <c:spPr>
          <a:noFill/>
          <a:ln>
            <a:noFill/>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de-DE"/>
          </a:p>
        </c:txPr>
        <c:crossAx val="255899904"/>
        <c:crosses val="autoZero"/>
        <c:auto val="1"/>
        <c:lblAlgn val="ctr"/>
        <c:lblOffset val="100"/>
        <c:tickLblSkip val="1"/>
        <c:noMultiLvlLbl val="0"/>
      </c:catAx>
      <c:valAx>
        <c:axId val="255899904"/>
        <c:scaling>
          <c:orientation val="minMax"/>
        </c:scaling>
        <c:delete val="0"/>
        <c:axPos val="l"/>
        <c:majorGridlines>
          <c:spPr>
            <a:ln w="9525" cap="flat" cmpd="sng" algn="ctr">
              <a:solidFill>
                <a:schemeClr val="dk1">
                  <a:lumMod val="50000"/>
                  <a:lumOff val="50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rgbClr val="FF0000"/>
                </a:solidFill>
                <a:latin typeface="+mn-lt"/>
                <a:ea typeface="+mn-ea"/>
                <a:cs typeface="+mn-cs"/>
              </a:defRPr>
            </a:pPr>
            <a:endParaRPr lang="de-DE"/>
          </a:p>
        </c:txPr>
        <c:crossAx val="255898368"/>
        <c:crossesAt val="1"/>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676274</xdr:colOff>
      <xdr:row>1</xdr:row>
      <xdr:rowOff>6350</xdr:rowOff>
    </xdr:from>
    <xdr:to>
      <xdr:col>10</xdr:col>
      <xdr:colOff>6349</xdr:colOff>
      <xdr:row>36</xdr:row>
      <xdr:rowOff>171450</xdr:rowOff>
    </xdr:to>
    <xdr:graphicFrame macro="">
      <xdr:nvGraphicFramePr>
        <xdr:cNvPr id="2" name="Diagramm 1">
          <a:extLst>
            <a:ext uri="{FF2B5EF4-FFF2-40B4-BE49-F238E27FC236}">
              <a16:creationId xmlns="" xmlns:a16="http://schemas.microsoft.com/office/drawing/2014/main" id="{D36E19B1-5F50-4D73-B9F2-50A7DCACF9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19050</xdr:colOff>
      <xdr:row>17</xdr:row>
      <xdr:rowOff>101600</xdr:rowOff>
    </xdr:to>
    <xdr:graphicFrame macro="">
      <xdr:nvGraphicFramePr>
        <xdr:cNvPr id="2" name="Diagramm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107950</xdr:rowOff>
    </xdr:from>
    <xdr:to>
      <xdr:col>7</xdr:col>
      <xdr:colOff>25400</xdr:colOff>
      <xdr:row>33</xdr:row>
      <xdr:rowOff>177800</xdr:rowOff>
    </xdr:to>
    <xdr:graphicFrame macro="">
      <xdr:nvGraphicFramePr>
        <xdr:cNvPr id="4" name="Diagramm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63500</xdr:colOff>
      <xdr:row>25</xdr:row>
      <xdr:rowOff>12701</xdr:rowOff>
    </xdr:from>
    <xdr:to>
      <xdr:col>17</xdr:col>
      <xdr:colOff>520700</xdr:colOff>
      <xdr:row>45</xdr:row>
      <xdr:rowOff>57151</xdr:rowOff>
    </xdr:to>
    <xdr:graphicFrame macro="">
      <xdr:nvGraphicFramePr>
        <xdr:cNvPr id="5" name="Diagramm 4">
          <a:extLst>
            <a:ext uri="{FF2B5EF4-FFF2-40B4-BE49-F238E27FC236}">
              <a16:creationId xmlns="" xmlns:a16="http://schemas.microsoft.com/office/drawing/2014/main" id="{686CFD84-5852-44E2-A218-648E9B4E19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69850</xdr:colOff>
      <xdr:row>45</xdr:row>
      <xdr:rowOff>88900</xdr:rowOff>
    </xdr:from>
    <xdr:to>
      <xdr:col>17</xdr:col>
      <xdr:colOff>539750</xdr:colOff>
      <xdr:row>60</xdr:row>
      <xdr:rowOff>152400</xdr:rowOff>
    </xdr:to>
    <xdr:graphicFrame macro="">
      <xdr:nvGraphicFramePr>
        <xdr:cNvPr id="7" name="Diagramm 6">
          <a:extLst>
            <a:ext uri="{FF2B5EF4-FFF2-40B4-BE49-F238E27FC236}">
              <a16:creationId xmlns="" xmlns:a16="http://schemas.microsoft.com/office/drawing/2014/main" id="{38FA1087-6AD0-4424-9CA6-0C1F6BE6D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66674</xdr:colOff>
      <xdr:row>0</xdr:row>
      <xdr:rowOff>0</xdr:rowOff>
    </xdr:from>
    <xdr:to>
      <xdr:col>17</xdr:col>
      <xdr:colOff>514349</xdr:colOff>
      <xdr:row>24</xdr:row>
      <xdr:rowOff>177800</xdr:rowOff>
    </xdr:to>
    <xdr:graphicFrame macro="">
      <xdr:nvGraphicFramePr>
        <xdr:cNvPr id="6" name="Diagramm 5">
          <a:extLst>
            <a:ext uri="{FF2B5EF4-FFF2-40B4-BE49-F238E27FC236}">
              <a16:creationId xmlns="" xmlns:a16="http://schemas.microsoft.com/office/drawing/2014/main" id="{BC3CA04E-75C6-44F8-BA0D-B5FB7D82D3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425824</xdr:colOff>
      <xdr:row>23</xdr:row>
      <xdr:rowOff>6350</xdr:rowOff>
    </xdr:to>
    <xdr:graphicFrame macro="">
      <xdr:nvGraphicFramePr>
        <xdr:cNvPr id="2" name="Diagramm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688040</xdr:colOff>
      <xdr:row>0</xdr:row>
      <xdr:rowOff>1</xdr:rowOff>
    </xdr:from>
    <xdr:to>
      <xdr:col>26</xdr:col>
      <xdr:colOff>761999</xdr:colOff>
      <xdr:row>23</xdr:row>
      <xdr:rowOff>1</xdr:rowOff>
    </xdr:to>
    <xdr:graphicFrame macro="">
      <xdr:nvGraphicFramePr>
        <xdr:cNvPr id="3" name="Diagramm 2">
          <a:extLst>
            <a:ext uri="{FF2B5EF4-FFF2-40B4-BE49-F238E27FC236}">
              <a16:creationId xmlns="" xmlns:a16="http://schemas.microsoft.com/office/drawing/2014/main" id="{4B916F32-7333-4013-B7C5-043BB1C6E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115454</xdr:rowOff>
    </xdr:from>
    <xdr:to>
      <xdr:col>10</xdr:col>
      <xdr:colOff>715818</xdr:colOff>
      <xdr:row>56</xdr:row>
      <xdr:rowOff>9813</xdr:rowOff>
    </xdr:to>
    <xdr:graphicFrame macro="">
      <xdr:nvGraphicFramePr>
        <xdr:cNvPr id="4" name="Diagramm 3">
          <a:extLst>
            <a:ext uri="{FF2B5EF4-FFF2-40B4-BE49-F238E27FC236}">
              <a16:creationId xmlns="" xmlns:a16="http://schemas.microsoft.com/office/drawing/2014/main" id="{C41E9E6E-1D63-42EC-8642-BA8CA6F5E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4"/>
  <sheetViews>
    <sheetView tabSelected="1" zoomScaleNormal="100" zoomScaleSheetLayoutView="70" workbookViewId="0">
      <pane ySplit="1" topLeftCell="A2" activePane="bottomLeft" state="frozen"/>
      <selection pane="bottomLeft" activeCell="B25" sqref="B25"/>
    </sheetView>
  </sheetViews>
  <sheetFormatPr baseColWidth="10" defaultRowHeight="14.4" x14ac:dyDescent="0.3"/>
  <cols>
    <col min="2" max="2" width="63.44140625" customWidth="1"/>
    <col min="3" max="3" width="13.77734375" style="7" bestFit="1" customWidth="1"/>
    <col min="4" max="4" width="14.88671875" style="7" bestFit="1" customWidth="1"/>
    <col min="5" max="6" width="13.77734375" style="7" bestFit="1" customWidth="1"/>
    <col min="7" max="7" width="14.88671875" style="7" bestFit="1" customWidth="1"/>
    <col min="8" max="8" width="13.77734375" style="7" bestFit="1" customWidth="1"/>
    <col min="9" max="9" width="14.88671875" style="7" bestFit="1" customWidth="1"/>
    <col min="10" max="12" width="13.77734375" style="7" hidden="1" customWidth="1"/>
    <col min="13" max="13" width="14.88671875" style="7" hidden="1" customWidth="1"/>
    <col min="14" max="14" width="13.77734375" style="46" bestFit="1" customWidth="1"/>
    <col min="19" max="19" width="13.77734375" bestFit="1" customWidth="1"/>
  </cols>
  <sheetData>
    <row r="1" spans="1:31" s="1" customFormat="1" ht="18" x14ac:dyDescent="0.35">
      <c r="A1" s="1">
        <v>1</v>
      </c>
      <c r="B1" s="1" t="s">
        <v>0</v>
      </c>
      <c r="C1" s="6" t="s">
        <v>210</v>
      </c>
      <c r="D1" s="6" t="s">
        <v>211</v>
      </c>
      <c r="E1" s="6" t="s">
        <v>212</v>
      </c>
      <c r="F1" s="6" t="s">
        <v>213</v>
      </c>
      <c r="G1" s="6" t="s">
        <v>214</v>
      </c>
      <c r="H1" s="6" t="s">
        <v>215</v>
      </c>
      <c r="I1" s="6" t="s">
        <v>216</v>
      </c>
      <c r="J1" s="6" t="s">
        <v>217</v>
      </c>
      <c r="K1" s="6" t="s">
        <v>218</v>
      </c>
      <c r="L1" s="6" t="s">
        <v>219</v>
      </c>
      <c r="M1" s="6" t="s">
        <v>220</v>
      </c>
      <c r="N1" s="6" t="s">
        <v>46</v>
      </c>
      <c r="U1" s="6" t="s">
        <v>35</v>
      </c>
      <c r="V1" s="6" t="s">
        <v>38</v>
      </c>
      <c r="W1" s="6" t="s">
        <v>42</v>
      </c>
      <c r="X1" s="6" t="s">
        <v>36</v>
      </c>
      <c r="Y1" s="6" t="s">
        <v>37</v>
      </c>
      <c r="Z1" s="6" t="s">
        <v>34</v>
      </c>
      <c r="AA1" s="6" t="s">
        <v>33</v>
      </c>
      <c r="AB1" s="6" t="s">
        <v>39</v>
      </c>
      <c r="AC1" s="6" t="s">
        <v>40</v>
      </c>
      <c r="AD1" s="6" t="s">
        <v>41</v>
      </c>
      <c r="AE1" s="6" t="s">
        <v>1</v>
      </c>
    </row>
    <row r="3" spans="1:31" s="2" customFormat="1" ht="14.25" x14ac:dyDescent="0.45">
      <c r="A3" s="2">
        <v>10</v>
      </c>
      <c r="B3" s="2" t="s">
        <v>16</v>
      </c>
      <c r="C3" s="8"/>
      <c r="D3" s="8"/>
      <c r="E3" s="8"/>
      <c r="F3" s="8"/>
      <c r="G3" s="8"/>
      <c r="H3" s="8"/>
      <c r="I3" s="8"/>
      <c r="J3" s="8"/>
      <c r="K3" s="8"/>
      <c r="L3" s="8"/>
      <c r="M3" s="8"/>
      <c r="N3" s="8"/>
      <c r="O3" s="8" t="s">
        <v>76</v>
      </c>
    </row>
    <row r="4" spans="1:31" ht="14.25" x14ac:dyDescent="0.45">
      <c r="A4">
        <v>11</v>
      </c>
      <c r="B4" t="s">
        <v>60</v>
      </c>
      <c r="C4" s="7">
        <v>4958</v>
      </c>
      <c r="D4" s="7">
        <v>7027</v>
      </c>
      <c r="E4" s="7">
        <v>7392</v>
      </c>
      <c r="F4" s="7">
        <v>2425</v>
      </c>
      <c r="G4" s="7">
        <v>9744</v>
      </c>
      <c r="H4" s="7">
        <v>3358</v>
      </c>
      <c r="I4" s="7">
        <v>10830</v>
      </c>
      <c r="J4" s="7">
        <v>12011</v>
      </c>
      <c r="K4" s="7">
        <v>1435</v>
      </c>
      <c r="L4" s="7">
        <v>9421</v>
      </c>
      <c r="M4" s="7">
        <v>24373</v>
      </c>
      <c r="N4" s="46">
        <f>SUM(C4:M4)</f>
        <v>92974</v>
      </c>
    </row>
    <row r="5" spans="1:31" s="133" customFormat="1" ht="14.25" x14ac:dyDescent="0.45">
      <c r="B5" s="137">
        <v>2025</v>
      </c>
      <c r="C5" s="134">
        <f t="shared" ref="C5:C13" si="0">C6-(C6*U$15/5)</f>
        <v>2241.7739400772075</v>
      </c>
      <c r="D5" s="134">
        <f t="shared" ref="D5:D14" si="1">D6-(D6*V$15/5)</f>
        <v>3009.1791910110683</v>
      </c>
      <c r="E5" s="134">
        <f t="shared" ref="E5:E14" si="2">E6-(E6*W$15/5)</f>
        <v>2650.2368405012858</v>
      </c>
      <c r="F5" s="134">
        <f t="shared" ref="F5:F14" si="3">F6-(F6*X$15/5)</f>
        <v>1219.8112515593409</v>
      </c>
      <c r="G5" s="134">
        <f t="shared" ref="G5:G14" si="4">G6-(G6*Y$15/5)</f>
        <v>3879.704547956354</v>
      </c>
      <c r="H5" s="134">
        <f t="shared" ref="H5:H14" si="5">H6-(H6*Z$15/5)</f>
        <v>1556.4002588128012</v>
      </c>
      <c r="I5" s="134">
        <f t="shared" ref="I5:I14" si="6">I6-(I6*AA$15/5)</f>
        <v>4001.8401909992776</v>
      </c>
      <c r="J5" s="134">
        <f t="shared" ref="J5:J14" si="7">J6-(J6*AB$15/5)</f>
        <v>3030.2892820309585</v>
      </c>
      <c r="K5" s="134">
        <f t="shared" ref="K5:K14" si="8">K6-(K6*AC$15/5)</f>
        <v>634.77531656468307</v>
      </c>
      <c r="L5" s="134">
        <f t="shared" ref="L5:L14" si="9">L6-(L6*AD$15/5)</f>
        <v>2700.3227149876921</v>
      </c>
      <c r="M5" s="134">
        <f t="shared" ref="M5:M14" si="10">M6-(M6*AE$15/5)</f>
        <v>6668.557325804265</v>
      </c>
      <c r="N5" s="135">
        <f>SUM(C5:M5)</f>
        <v>31592.890860304928</v>
      </c>
      <c r="O5" s="136">
        <f t="shared" ref="O5:O14" si="11">N5/$N$15</f>
        <v>0.92577187072334666</v>
      </c>
    </row>
    <row r="6" spans="1:31" s="133" customFormat="1" ht="14.25" x14ac:dyDescent="0.45">
      <c r="B6" s="137">
        <v>2024</v>
      </c>
      <c r="C6" s="134">
        <f t="shared" si="0"/>
        <v>2257.2094026050781</v>
      </c>
      <c r="D6" s="134">
        <f t="shared" si="1"/>
        <v>3011.5528287085726</v>
      </c>
      <c r="E6" s="134">
        <f t="shared" si="2"/>
        <v>2662.0724484229972</v>
      </c>
      <c r="F6" s="134">
        <f t="shared" si="3"/>
        <v>1224.5465436849595</v>
      </c>
      <c r="G6" s="134">
        <f t="shared" si="4"/>
        <v>3915.2336221556097</v>
      </c>
      <c r="H6" s="134">
        <f t="shared" si="5"/>
        <v>1558.9414800341735</v>
      </c>
      <c r="I6" s="134">
        <f t="shared" si="6"/>
        <v>4039.5190016436763</v>
      </c>
      <c r="J6" s="134">
        <f t="shared" si="7"/>
        <v>3081.9168991359948</v>
      </c>
      <c r="K6" s="134">
        <f t="shared" si="8"/>
        <v>632.46015460108504</v>
      </c>
      <c r="L6" s="134">
        <f t="shared" si="9"/>
        <v>2732.3282958940431</v>
      </c>
      <c r="M6" s="134">
        <f t="shared" si="10"/>
        <v>6718.7658613693393</v>
      </c>
      <c r="N6" s="135">
        <f t="shared" ref="N6:N14" si="12">SUM(C6:M6)</f>
        <v>31834.546538255527</v>
      </c>
      <c r="O6" s="136">
        <f t="shared" si="11"/>
        <v>0.93285314828153099</v>
      </c>
    </row>
    <row r="7" spans="1:31" s="133" customFormat="1" ht="14.25" x14ac:dyDescent="0.45">
      <c r="B7" s="137">
        <v>2023</v>
      </c>
      <c r="C7" s="134">
        <f t="shared" si="0"/>
        <v>2272.7511441377983</v>
      </c>
      <c r="D7" s="134">
        <f t="shared" si="1"/>
        <v>3013.9283387292458</v>
      </c>
      <c r="E7" s="134">
        <f t="shared" si="2"/>
        <v>2673.9609126074906</v>
      </c>
      <c r="F7" s="134">
        <f t="shared" si="3"/>
        <v>1229.3002181557863</v>
      </c>
      <c r="G7" s="134">
        <f t="shared" si="4"/>
        <v>3951.0880600772452</v>
      </c>
      <c r="H7" s="134">
        <f t="shared" si="5"/>
        <v>1561.4868504486981</v>
      </c>
      <c r="I7" s="134">
        <f t="shared" si="6"/>
        <v>4077.5525722744355</v>
      </c>
      <c r="J7" s="134">
        <f t="shared" si="7"/>
        <v>3134.4241058114885</v>
      </c>
      <c r="K7" s="134">
        <f t="shared" si="8"/>
        <v>630.1534365305904</v>
      </c>
      <c r="L7" s="134">
        <f t="shared" si="9"/>
        <v>2764.7132230183361</v>
      </c>
      <c r="M7" s="134">
        <f t="shared" si="10"/>
        <v>6769.3524242828225</v>
      </c>
      <c r="N7" s="135">
        <f t="shared" si="12"/>
        <v>32078.711286073936</v>
      </c>
      <c r="O7" s="136">
        <f t="shared" si="11"/>
        <v>0.94000794954210676</v>
      </c>
    </row>
    <row r="8" spans="1:31" s="133" customFormat="1" x14ac:dyDescent="0.3">
      <c r="A8" s="142" t="s">
        <v>223</v>
      </c>
      <c r="B8" s="137">
        <v>2022</v>
      </c>
      <c r="C8" s="134">
        <f t="shared" si="0"/>
        <v>2288.3998964465641</v>
      </c>
      <c r="D8" s="134">
        <f t="shared" si="1"/>
        <v>3016.3057225499747</v>
      </c>
      <c r="E8" s="134">
        <f t="shared" si="2"/>
        <v>2685.9024691038594</v>
      </c>
      <c r="F8" s="134">
        <f t="shared" si="3"/>
        <v>1234.0723463318568</v>
      </c>
      <c r="G8" s="134">
        <f t="shared" si="4"/>
        <v>3987.270841296558</v>
      </c>
      <c r="H8" s="134">
        <f t="shared" si="5"/>
        <v>1564.036376830993</v>
      </c>
      <c r="I8" s="134">
        <f t="shared" si="6"/>
        <v>4115.9442430884928</v>
      </c>
      <c r="J8" s="134">
        <f t="shared" si="7"/>
        <v>3187.825887792902</v>
      </c>
      <c r="K8" s="134">
        <f t="shared" si="8"/>
        <v>627.85513155650665</v>
      </c>
      <c r="L8" s="134">
        <f t="shared" si="9"/>
        <v>2797.4819925624515</v>
      </c>
      <c r="M8" s="134">
        <f t="shared" si="10"/>
        <v>6820.3198607674649</v>
      </c>
      <c r="N8" s="135">
        <f t="shared" si="12"/>
        <v>32325.414768327621</v>
      </c>
      <c r="O8" s="136">
        <f t="shared" si="11"/>
        <v>0.94723714377095525</v>
      </c>
    </row>
    <row r="9" spans="1:31" s="133" customFormat="1" x14ac:dyDescent="0.3">
      <c r="A9" s="142"/>
      <c r="B9" s="137">
        <v>2021</v>
      </c>
      <c r="C9" s="134">
        <f t="shared" si="0"/>
        <v>2304.1563963410927</v>
      </c>
      <c r="D9" s="134">
        <f t="shared" si="1"/>
        <v>3018.6849816488111</v>
      </c>
      <c r="E9" s="134">
        <f t="shared" si="2"/>
        <v>2697.8973550153605</v>
      </c>
      <c r="F9" s="134">
        <f t="shared" si="3"/>
        <v>1238.8629998502258</v>
      </c>
      <c r="G9" s="134">
        <f t="shared" si="4"/>
        <v>4023.7849726748291</v>
      </c>
      <c r="H9" s="134">
        <f t="shared" si="5"/>
        <v>1566.5900659667382</v>
      </c>
      <c r="I9" s="134">
        <f t="shared" si="6"/>
        <v>4154.6973857319799</v>
      </c>
      <c r="J9" s="134">
        <f t="shared" si="7"/>
        <v>3242.137486130533</v>
      </c>
      <c r="K9" s="134">
        <f t="shared" si="8"/>
        <v>625.56520899446366</v>
      </c>
      <c r="L9" s="134">
        <f t="shared" si="9"/>
        <v>2830.6391540195132</v>
      </c>
      <c r="M9" s="134">
        <f t="shared" si="10"/>
        <v>6871.6710384756398</v>
      </c>
      <c r="N9" s="135">
        <f t="shared" si="12"/>
        <v>32574.68704484919</v>
      </c>
      <c r="O9" s="136">
        <f t="shared" si="11"/>
        <v>0.95454161181647978</v>
      </c>
    </row>
    <row r="10" spans="1:31" s="133" customFormat="1" x14ac:dyDescent="0.3">
      <c r="A10" s="142"/>
      <c r="B10" s="137">
        <v>2020</v>
      </c>
      <c r="C10" s="134">
        <f t="shared" si="0"/>
        <v>2320.0213857043159</v>
      </c>
      <c r="D10" s="134">
        <f t="shared" si="1"/>
        <v>3021.0661175049727</v>
      </c>
      <c r="E10" s="134">
        <f t="shared" si="2"/>
        <v>2709.9458085041229</v>
      </c>
      <c r="F10" s="134">
        <f t="shared" si="3"/>
        <v>1243.6722506260419</v>
      </c>
      <c r="G10" s="134">
        <f t="shared" si="4"/>
        <v>4060.6334886091981</v>
      </c>
      <c r="H10" s="134">
        <f t="shared" si="5"/>
        <v>1569.1479246526924</v>
      </c>
      <c r="I10" s="134">
        <f t="shared" si="6"/>
        <v>4193.8154035963271</v>
      </c>
      <c r="J10" s="134">
        <f t="shared" si="7"/>
        <v>3297.374401539364</v>
      </c>
      <c r="K10" s="134">
        <f t="shared" si="8"/>
        <v>623.28363827200371</v>
      </c>
      <c r="L10" s="134">
        <f t="shared" si="9"/>
        <v>2864.1893108055215</v>
      </c>
      <c r="M10" s="134">
        <f t="shared" si="10"/>
        <v>6923.408846650691</v>
      </c>
      <c r="N10" s="135">
        <f t="shared" si="12"/>
        <v>32826.55857646525</v>
      </c>
      <c r="O10" s="136">
        <f t="shared" si="11"/>
        <v>0.96192224627747902</v>
      </c>
    </row>
    <row r="11" spans="1:31" s="133" customFormat="1" x14ac:dyDescent="0.3">
      <c r="A11" s="142"/>
      <c r="B11" s="137">
        <v>2019</v>
      </c>
      <c r="C11" s="134">
        <f t="shared" si="0"/>
        <v>2335.9956115273103</v>
      </c>
      <c r="D11" s="134">
        <f t="shared" si="1"/>
        <v>3023.4491315988439</v>
      </c>
      <c r="E11" s="134">
        <f t="shared" si="2"/>
        <v>2722.0480687958757</v>
      </c>
      <c r="F11" s="134">
        <f t="shared" si="3"/>
        <v>1248.5001708536274</v>
      </c>
      <c r="G11" s="134">
        <f t="shared" si="4"/>
        <v>4097.8194512848286</v>
      </c>
      <c r="H11" s="134">
        <f t="shared" si="5"/>
        <v>1571.7099596967121</v>
      </c>
      <c r="I11" s="134">
        <f t="shared" si="6"/>
        <v>4233.3017321171592</v>
      </c>
      <c r="J11" s="134">
        <f t="shared" si="7"/>
        <v>3353.5523988230184</v>
      </c>
      <c r="K11" s="134">
        <f t="shared" si="8"/>
        <v>621.01038892817348</v>
      </c>
      <c r="L11" s="134">
        <f t="shared" si="9"/>
        <v>2898.1371208984756</v>
      </c>
      <c r="M11" s="134">
        <f t="shared" si="10"/>
        <v>6975.5361962894958</v>
      </c>
      <c r="N11" s="135">
        <f t="shared" si="12"/>
        <v>33081.06023081352</v>
      </c>
      <c r="O11" s="136">
        <f t="shared" si="11"/>
        <v>0.96937995167360724</v>
      </c>
    </row>
    <row r="12" spans="1:31" s="133" customFormat="1" x14ac:dyDescent="0.3">
      <c r="A12" s="142"/>
      <c r="B12" s="137">
        <v>2018</v>
      </c>
      <c r="C12" s="134">
        <f t="shared" si="0"/>
        <v>2352.0798259444687</v>
      </c>
      <c r="D12" s="134">
        <f t="shared" si="1"/>
        <v>3025.8340254119767</v>
      </c>
      <c r="E12" s="134">
        <f t="shared" si="2"/>
        <v>2734.2043761846999</v>
      </c>
      <c r="F12" s="134">
        <f t="shared" si="3"/>
        <v>1253.3468330075623</v>
      </c>
      <c r="G12" s="134">
        <f t="shared" si="4"/>
        <v>4135.3459509293807</v>
      </c>
      <c r="H12" s="134">
        <f t="shared" si="5"/>
        <v>1574.2761779177692</v>
      </c>
      <c r="I12" s="134">
        <f t="shared" si="6"/>
        <v>4273.1598390760028</v>
      </c>
      <c r="J12" s="134">
        <f t="shared" si="7"/>
        <v>3410.6875113730885</v>
      </c>
      <c r="K12" s="134">
        <f t="shared" si="8"/>
        <v>618.74543061311715</v>
      </c>
      <c r="L12" s="134">
        <f t="shared" si="9"/>
        <v>2932.4872974850687</v>
      </c>
      <c r="M12" s="134">
        <f t="shared" si="10"/>
        <v>7028.0560203062478</v>
      </c>
      <c r="N12" s="135">
        <f t="shared" si="12"/>
        <v>33338.223288249384</v>
      </c>
      <c r="O12" s="136">
        <f t="shared" si="11"/>
        <v>0.9769156446184547</v>
      </c>
    </row>
    <row r="13" spans="1:31" s="133" customFormat="1" x14ac:dyDescent="0.3">
      <c r="A13" s="142"/>
      <c r="B13" s="137">
        <v>2017</v>
      </c>
      <c r="C13" s="134">
        <f t="shared" si="0"/>
        <v>2368.2747862689143</v>
      </c>
      <c r="D13" s="134">
        <f t="shared" si="1"/>
        <v>3028.2208004270915</v>
      </c>
      <c r="E13" s="134">
        <f t="shared" si="2"/>
        <v>2746.4149720377968</v>
      </c>
      <c r="F13" s="134">
        <f t="shared" si="3"/>
        <v>1258.2123098437717</v>
      </c>
      <c r="G13" s="134">
        <f t="shared" si="4"/>
        <v>4173.2161060698163</v>
      </c>
      <c r="H13" s="134">
        <f t="shared" si="5"/>
        <v>1576.8465861459695</v>
      </c>
      <c r="I13" s="134">
        <f t="shared" si="6"/>
        <v>4313.393224904833</v>
      </c>
      <c r="J13" s="134">
        <f t="shared" si="7"/>
        <v>3468.7960457451213</v>
      </c>
      <c r="K13" s="134">
        <f t="shared" si="8"/>
        <v>616.48873308767145</v>
      </c>
      <c r="L13" s="134">
        <f t="shared" si="9"/>
        <v>2967.2446096150497</v>
      </c>
      <c r="M13" s="134">
        <f t="shared" si="10"/>
        <v>7080.9712736974789</v>
      </c>
      <c r="N13" s="135">
        <f t="shared" si="12"/>
        <v>33598.079447843513</v>
      </c>
      <c r="O13" s="136">
        <f t="shared" si="11"/>
        <v>0.98453025399529726</v>
      </c>
    </row>
    <row r="14" spans="1:31" s="133" customFormat="1" ht="15" thickBot="1" x14ac:dyDescent="0.35">
      <c r="A14" s="143"/>
      <c r="B14" s="137">
        <v>2016</v>
      </c>
      <c r="C14" s="134">
        <f>C15-(C15*U$15/5)</f>
        <v>2384.5812550281576</v>
      </c>
      <c r="D14" s="134">
        <f t="shared" si="1"/>
        <v>3030.609458128079</v>
      </c>
      <c r="E14" s="134">
        <f t="shared" si="2"/>
        <v>2758.6800988002824</v>
      </c>
      <c r="F14" s="134">
        <f t="shared" si="3"/>
        <v>1263.0966744006187</v>
      </c>
      <c r="G14" s="134">
        <f t="shared" si="4"/>
        <v>4211.4330637915546</v>
      </c>
      <c r="H14" s="134">
        <f t="shared" si="5"/>
        <v>1579.4211912225705</v>
      </c>
      <c r="I14" s="134">
        <f t="shared" si="6"/>
        <v>4354.0054229934922</v>
      </c>
      <c r="J14" s="134">
        <f t="shared" si="7"/>
        <v>3527.8945863125637</v>
      </c>
      <c r="K14" s="134">
        <f t="shared" si="8"/>
        <v>614.24026622296174</v>
      </c>
      <c r="L14" s="134">
        <f t="shared" si="9"/>
        <v>3002.4138828633404</v>
      </c>
      <c r="M14" s="134">
        <f t="shared" si="10"/>
        <v>7134.2849337083162</v>
      </c>
      <c r="N14" s="135">
        <f t="shared" si="12"/>
        <v>33860.660833471935</v>
      </c>
      <c r="O14" s="136">
        <f t="shared" si="11"/>
        <v>0.9922247211355546</v>
      </c>
    </row>
    <row r="15" spans="1:31" s="30" customFormat="1" ht="14.7" thickBot="1" x14ac:dyDescent="0.5">
      <c r="A15" s="29">
        <v>12</v>
      </c>
      <c r="B15" s="30" t="s">
        <v>207</v>
      </c>
      <c r="C15" s="31">
        <v>2401</v>
      </c>
      <c r="D15" s="31">
        <v>3033</v>
      </c>
      <c r="E15" s="31">
        <v>2771</v>
      </c>
      <c r="F15" s="31">
        <v>1268</v>
      </c>
      <c r="G15" s="31">
        <v>4250</v>
      </c>
      <c r="H15" s="31">
        <v>1582</v>
      </c>
      <c r="I15" s="31">
        <v>4395</v>
      </c>
      <c r="J15" s="31">
        <v>3588</v>
      </c>
      <c r="K15" s="31">
        <v>612</v>
      </c>
      <c r="L15" s="31">
        <v>3038</v>
      </c>
      <c r="M15" s="31">
        <v>7188</v>
      </c>
      <c r="N15" s="47">
        <f>SUM(C15:M15)</f>
        <v>34126</v>
      </c>
      <c r="O15" s="32">
        <v>1</v>
      </c>
      <c r="P15" s="32">
        <f t="shared" ref="P15:P22" si="13">(N15/N16)-1</f>
        <v>-1.4126823631373631E-2</v>
      </c>
      <c r="Q15" s="52" t="s">
        <v>106</v>
      </c>
      <c r="R15" s="52"/>
      <c r="S15" s="52"/>
      <c r="T15" s="52"/>
      <c r="U15" s="53">
        <f>(C19-C15)/C19</f>
        <v>3.4191472244569587E-2</v>
      </c>
      <c r="V15" s="53">
        <f t="shared" ref="V15:AE15" si="14">(D19-D15)/D19</f>
        <v>3.9408866995073889E-3</v>
      </c>
      <c r="W15" s="53">
        <f t="shared" si="14"/>
        <v>2.2230063514467185E-2</v>
      </c>
      <c r="X15" s="53">
        <f t="shared" si="14"/>
        <v>1.9334880123743233E-2</v>
      </c>
      <c r="Y15" s="53">
        <f t="shared" si="14"/>
        <v>4.5372866127583109E-2</v>
      </c>
      <c r="Z15" s="53">
        <f t="shared" si="14"/>
        <v>8.1504702194357369E-3</v>
      </c>
      <c r="AA15" s="53">
        <f t="shared" si="14"/>
        <v>4.6637744034707156E-2</v>
      </c>
      <c r="AB15" s="53">
        <f t="shared" si="14"/>
        <v>8.3758937691521956E-2</v>
      </c>
      <c r="AC15" s="53">
        <f t="shared" si="14"/>
        <v>-1.8302828618968387E-2</v>
      </c>
      <c r="AD15" s="53">
        <f t="shared" si="14"/>
        <v>5.8568329718004339E-2</v>
      </c>
      <c r="AE15" s="53">
        <f t="shared" si="14"/>
        <v>3.7364403374849336E-2</v>
      </c>
    </row>
    <row r="16" spans="1:31" ht="14.25" x14ac:dyDescent="0.45">
      <c r="A16">
        <v>13</v>
      </c>
      <c r="B16" t="s">
        <v>67</v>
      </c>
      <c r="C16" s="7">
        <v>2471</v>
      </c>
      <c r="D16" s="7">
        <v>3046</v>
      </c>
      <c r="E16" s="7">
        <v>2815</v>
      </c>
      <c r="F16" s="7">
        <v>1232</v>
      </c>
      <c r="G16" s="7">
        <v>4306</v>
      </c>
      <c r="H16" s="7">
        <v>1618</v>
      </c>
      <c r="I16" s="7">
        <v>4482</v>
      </c>
      <c r="J16" s="7">
        <v>3654</v>
      </c>
      <c r="K16" s="7">
        <v>594</v>
      </c>
      <c r="L16" s="7">
        <v>3121</v>
      </c>
      <c r="M16" s="7">
        <v>7276</v>
      </c>
      <c r="N16" s="46">
        <f t="shared" ref="N16:N24" si="15">SUM(C16:M16)</f>
        <v>34615</v>
      </c>
      <c r="O16" s="21">
        <f t="shared" ref="O16:O24" si="16">N16/$N$24</f>
        <v>0.95812112488928258</v>
      </c>
      <c r="P16" s="21">
        <f t="shared" si="13"/>
        <v>-8.7910199874005057E-3</v>
      </c>
    </row>
    <row r="17" spans="1:16" ht="14.25" x14ac:dyDescent="0.45">
      <c r="A17">
        <v>14</v>
      </c>
      <c r="B17" t="s">
        <v>68</v>
      </c>
      <c r="C17" s="7">
        <v>2471</v>
      </c>
      <c r="D17" s="7">
        <v>3062</v>
      </c>
      <c r="E17" s="7">
        <v>2792</v>
      </c>
      <c r="F17" s="7">
        <v>1257</v>
      </c>
      <c r="G17" s="7">
        <v>4338</v>
      </c>
      <c r="H17" s="7">
        <v>1608</v>
      </c>
      <c r="I17" s="7">
        <v>4548</v>
      </c>
      <c r="J17" s="7">
        <v>3753</v>
      </c>
      <c r="K17" s="7">
        <v>603</v>
      </c>
      <c r="L17" s="7">
        <v>3130</v>
      </c>
      <c r="M17" s="7">
        <v>7360</v>
      </c>
      <c r="N17" s="46">
        <f t="shared" si="15"/>
        <v>34922</v>
      </c>
      <c r="O17" s="21">
        <f t="shared" si="16"/>
        <v>0.96661868910540305</v>
      </c>
      <c r="P17" s="21">
        <f t="shared" si="13"/>
        <v>-8.9113406743103196E-3</v>
      </c>
    </row>
    <row r="18" spans="1:16" ht="14.25" x14ac:dyDescent="0.45">
      <c r="A18">
        <v>15</v>
      </c>
      <c r="B18" t="s">
        <v>69</v>
      </c>
      <c r="C18" s="7">
        <v>2487</v>
      </c>
      <c r="D18" s="7">
        <v>3024</v>
      </c>
      <c r="E18" s="7">
        <v>2834</v>
      </c>
      <c r="F18" s="7">
        <v>1271</v>
      </c>
      <c r="G18" s="7">
        <v>4427</v>
      </c>
      <c r="H18" s="7">
        <v>1598</v>
      </c>
      <c r="I18" s="7">
        <v>4544</v>
      </c>
      <c r="J18" s="7">
        <v>3838</v>
      </c>
      <c r="K18" s="7">
        <v>593</v>
      </c>
      <c r="L18" s="7">
        <v>3203</v>
      </c>
      <c r="M18" s="7">
        <v>7417</v>
      </c>
      <c r="N18" s="46">
        <f t="shared" si="15"/>
        <v>35236</v>
      </c>
      <c r="O18" s="21">
        <f t="shared" si="16"/>
        <v>0.97531000885739594</v>
      </c>
      <c r="P18" s="21">
        <f t="shared" si="13"/>
        <v>-8.1630355232786833E-3</v>
      </c>
    </row>
    <row r="19" spans="1:16" ht="14.25" x14ac:dyDescent="0.45">
      <c r="A19">
        <v>16</v>
      </c>
      <c r="B19" t="s">
        <v>70</v>
      </c>
      <c r="C19" s="7">
        <v>2486</v>
      </c>
      <c r="D19" s="7">
        <v>3045</v>
      </c>
      <c r="E19" s="7">
        <v>2834</v>
      </c>
      <c r="F19" s="7">
        <v>1293</v>
      </c>
      <c r="G19" s="7">
        <v>4452</v>
      </c>
      <c r="H19" s="7">
        <v>1595</v>
      </c>
      <c r="I19" s="7">
        <v>4610</v>
      </c>
      <c r="J19" s="7">
        <v>3916</v>
      </c>
      <c r="K19" s="7">
        <v>601</v>
      </c>
      <c r="L19" s="7">
        <v>3227</v>
      </c>
      <c r="M19" s="7">
        <v>7467</v>
      </c>
      <c r="N19" s="46">
        <f t="shared" si="15"/>
        <v>35526</v>
      </c>
      <c r="O19" s="21">
        <f t="shared" si="16"/>
        <v>0.98333702391496902</v>
      </c>
      <c r="P19" s="21">
        <f t="shared" si="13"/>
        <v>-7.709066532595954E-3</v>
      </c>
    </row>
    <row r="20" spans="1:16" ht="14.25" x14ac:dyDescent="0.45">
      <c r="A20">
        <v>17</v>
      </c>
      <c r="B20" t="s">
        <v>71</v>
      </c>
      <c r="C20" s="7">
        <v>2486</v>
      </c>
      <c r="D20" s="7">
        <v>3050</v>
      </c>
      <c r="E20" s="7">
        <v>2738</v>
      </c>
      <c r="F20" s="7">
        <v>1292</v>
      </c>
      <c r="G20" s="7">
        <v>4516</v>
      </c>
      <c r="H20" s="7">
        <v>1604</v>
      </c>
      <c r="I20" s="7">
        <v>4663</v>
      </c>
      <c r="J20" s="7">
        <v>4017</v>
      </c>
      <c r="K20" s="7">
        <v>611</v>
      </c>
      <c r="L20" s="7">
        <v>3242</v>
      </c>
      <c r="M20" s="7">
        <v>7583</v>
      </c>
      <c r="N20" s="46">
        <f t="shared" si="15"/>
        <v>35802</v>
      </c>
      <c r="O20" s="21">
        <f t="shared" si="16"/>
        <v>0.99097652790079716</v>
      </c>
      <c r="P20" s="21">
        <f t="shared" si="13"/>
        <v>-6.5210755612287175E-3</v>
      </c>
    </row>
    <row r="21" spans="1:16" ht="14.25" x14ac:dyDescent="0.45">
      <c r="A21">
        <v>18</v>
      </c>
      <c r="B21" t="s">
        <v>72</v>
      </c>
      <c r="C21" s="7">
        <v>2484</v>
      </c>
      <c r="D21" s="7">
        <v>3049</v>
      </c>
      <c r="E21" s="7">
        <v>2712</v>
      </c>
      <c r="F21" s="7">
        <v>1284</v>
      </c>
      <c r="G21" s="7">
        <v>4560</v>
      </c>
      <c r="H21" s="7">
        <v>1572</v>
      </c>
      <c r="I21" s="7">
        <v>4701</v>
      </c>
      <c r="J21" s="7">
        <v>4090</v>
      </c>
      <c r="K21" s="7">
        <v>611</v>
      </c>
      <c r="L21" s="7">
        <v>3322</v>
      </c>
      <c r="M21" s="7">
        <v>7652</v>
      </c>
      <c r="N21" s="46">
        <f t="shared" si="15"/>
        <v>36037</v>
      </c>
      <c r="O21" s="21">
        <f t="shared" si="16"/>
        <v>0.9974811780336581</v>
      </c>
      <c r="P21" s="21">
        <f t="shared" si="13"/>
        <v>-1.1087396402139627E-3</v>
      </c>
    </row>
    <row r="22" spans="1:16" ht="14.25" x14ac:dyDescent="0.45">
      <c r="A22">
        <v>19</v>
      </c>
      <c r="B22" t="s">
        <v>73</v>
      </c>
      <c r="C22" s="7">
        <v>2444</v>
      </c>
      <c r="D22" s="7">
        <v>3044</v>
      </c>
      <c r="E22" s="7">
        <v>2697</v>
      </c>
      <c r="F22" s="7">
        <v>1278</v>
      </c>
      <c r="G22" s="7">
        <v>4523</v>
      </c>
      <c r="H22" s="7">
        <v>1573</v>
      </c>
      <c r="I22" s="7">
        <v>4657</v>
      </c>
      <c r="J22" s="7">
        <v>4102</v>
      </c>
      <c r="K22" s="7">
        <v>610</v>
      </c>
      <c r="L22" s="7">
        <v>3377</v>
      </c>
      <c r="M22" s="7">
        <v>7772</v>
      </c>
      <c r="N22" s="46">
        <f t="shared" si="15"/>
        <v>36077</v>
      </c>
      <c r="O22" s="21">
        <f t="shared" si="16"/>
        <v>0.99858835252435785</v>
      </c>
      <c r="P22" s="21">
        <f t="shared" si="13"/>
        <v>-2.2953539823008517E-3</v>
      </c>
    </row>
    <row r="23" spans="1:16" ht="14.25" x14ac:dyDescent="0.45">
      <c r="A23">
        <v>20</v>
      </c>
      <c r="B23" t="s">
        <v>74</v>
      </c>
      <c r="C23" s="7">
        <v>2446</v>
      </c>
      <c r="D23" s="7">
        <v>3001</v>
      </c>
      <c r="E23" s="7">
        <v>2716</v>
      </c>
      <c r="F23" s="7">
        <v>1279</v>
      </c>
      <c r="G23" s="7">
        <v>4514</v>
      </c>
      <c r="H23" s="7">
        <v>1571</v>
      </c>
      <c r="I23" s="7">
        <v>4708</v>
      </c>
      <c r="J23" s="7">
        <v>4181</v>
      </c>
      <c r="K23" s="7">
        <v>602</v>
      </c>
      <c r="L23" s="7">
        <v>3413</v>
      </c>
      <c r="M23" s="7">
        <v>7729</v>
      </c>
      <c r="N23" s="46">
        <f t="shared" si="15"/>
        <v>36160</v>
      </c>
      <c r="O23" s="21">
        <f t="shared" si="16"/>
        <v>1.0008857395925599</v>
      </c>
      <c r="P23" s="21">
        <f>(N23/N24)-1</f>
        <v>8.8573959255988655E-4</v>
      </c>
    </row>
    <row r="24" spans="1:16" ht="14.25" x14ac:dyDescent="0.45">
      <c r="A24">
        <v>21</v>
      </c>
      <c r="B24" t="s">
        <v>75</v>
      </c>
      <c r="C24" s="7">
        <v>2456</v>
      </c>
      <c r="D24" s="7">
        <v>2942</v>
      </c>
      <c r="E24" s="7">
        <v>2722</v>
      </c>
      <c r="F24" s="7">
        <v>1248</v>
      </c>
      <c r="G24" s="7">
        <v>4626</v>
      </c>
      <c r="H24" s="7">
        <v>1577</v>
      </c>
      <c r="I24" s="7">
        <v>4715</v>
      </c>
      <c r="J24" s="7">
        <v>4176</v>
      </c>
      <c r="K24" s="7">
        <v>605</v>
      </c>
      <c r="L24" s="7">
        <v>3488</v>
      </c>
      <c r="M24" s="7">
        <v>7573</v>
      </c>
      <c r="N24" s="46">
        <f t="shared" si="15"/>
        <v>36128</v>
      </c>
      <c r="O24" s="21">
        <f t="shared" si="16"/>
        <v>1</v>
      </c>
      <c r="P24" s="28"/>
    </row>
    <row r="25" spans="1:16" ht="14.25" x14ac:dyDescent="0.45">
      <c r="A25">
        <v>22</v>
      </c>
      <c r="B25" t="s">
        <v>61</v>
      </c>
      <c r="C25" s="17">
        <v>0.48426784993949173</v>
      </c>
      <c r="D25" s="17">
        <v>0.43162089084958016</v>
      </c>
      <c r="E25" s="17">
        <v>0.3748647186147186</v>
      </c>
      <c r="F25" s="17">
        <v>0.52288659793814429</v>
      </c>
      <c r="G25" s="17">
        <v>0.43616584564860428</v>
      </c>
      <c r="H25" s="17">
        <v>0.47111375818939843</v>
      </c>
      <c r="I25" s="17">
        <v>0.40581717451523547</v>
      </c>
      <c r="J25" s="17">
        <v>0.29872616767962701</v>
      </c>
      <c r="K25" s="17">
        <v>0.42648083623693378</v>
      </c>
      <c r="L25" s="17">
        <v>0.32247107525740365</v>
      </c>
      <c r="M25" s="17">
        <v>0.29491650596972058</v>
      </c>
      <c r="N25" s="48">
        <f>AVERAGE(C25:M25)</f>
        <v>0.40630285643989622</v>
      </c>
    </row>
    <row r="26" spans="1:16" ht="14.25" x14ac:dyDescent="0.45">
      <c r="A26">
        <v>23</v>
      </c>
      <c r="B26" t="s">
        <v>62</v>
      </c>
      <c r="C26" s="17">
        <v>0.10392516989423542</v>
      </c>
      <c r="D26" s="17">
        <v>9.8584250720588615E-2</v>
      </c>
      <c r="E26" s="17">
        <v>8.4942965865754019E-2</v>
      </c>
      <c r="F26" s="17">
        <v>0.12743339355935807</v>
      </c>
      <c r="G26" s="17">
        <v>9.3598397295898139E-2</v>
      </c>
      <c r="H26" s="17">
        <v>9.9189227826058574E-2</v>
      </c>
      <c r="I26" s="17">
        <v>8.0938605443481873E-2</v>
      </c>
      <c r="J26" s="17">
        <v>5.8720546323503403E-2</v>
      </c>
      <c r="K26" s="17">
        <v>9.3023346161784162E-2</v>
      </c>
      <c r="L26" s="17">
        <v>6.5959214735274052E-2</v>
      </c>
      <c r="M26" s="17">
        <v>5.9109142561936771E-2</v>
      </c>
      <c r="N26" s="48">
        <f>AVERAGE(C26:M26)</f>
        <v>8.7765841853443008E-2</v>
      </c>
    </row>
    <row r="27" spans="1:16" s="139" customFormat="1" ht="15" thickBot="1" x14ac:dyDescent="0.35">
      <c r="A27" s="139">
        <v>24</v>
      </c>
      <c r="B27" s="139" t="s">
        <v>172</v>
      </c>
      <c r="C27" s="140">
        <v>-2.8328611898016998E-2</v>
      </c>
      <c r="D27" s="140">
        <v>-4.2678923177938283E-3</v>
      </c>
      <c r="E27" s="140">
        <v>-1.5630550621669625E-2</v>
      </c>
      <c r="F27" s="140">
        <v>2.922077922077922E-2</v>
      </c>
      <c r="G27" s="140">
        <v>-1.3005109150023224E-2</v>
      </c>
      <c r="H27" s="140">
        <v>-2.2249690976514216E-2</v>
      </c>
      <c r="I27" s="140">
        <v>-1.9410977242302542E-2</v>
      </c>
      <c r="J27" s="140">
        <v>-1.8062397372742199E-2</v>
      </c>
      <c r="K27" s="140">
        <v>3.0303030303030304E-2</v>
      </c>
      <c r="L27" s="140">
        <v>-2.6594040371675745E-2</v>
      </c>
      <c r="M27" s="140">
        <v>-1.2094557449147883E-2</v>
      </c>
      <c r="N27" s="141">
        <f>AVERAGE(C27:M27)</f>
        <v>-9.1018198069160675E-3</v>
      </c>
    </row>
    <row r="28" spans="1:16" ht="14.7" thickTop="1" x14ac:dyDescent="0.45">
      <c r="A28">
        <v>25</v>
      </c>
      <c r="B28" s="138" t="s">
        <v>2</v>
      </c>
      <c r="C28" s="7">
        <v>150</v>
      </c>
      <c r="D28" s="7">
        <v>200</v>
      </c>
      <c r="E28" s="7">
        <v>170</v>
      </c>
      <c r="F28" s="7">
        <v>100</v>
      </c>
      <c r="G28" s="7">
        <v>200</v>
      </c>
      <c r="H28" s="7">
        <v>100</v>
      </c>
      <c r="I28" s="7">
        <v>250</v>
      </c>
      <c r="J28" s="7">
        <v>200</v>
      </c>
      <c r="K28" s="7">
        <v>70</v>
      </c>
      <c r="L28" s="7">
        <v>200</v>
      </c>
      <c r="M28" s="7">
        <v>370</v>
      </c>
      <c r="N28" s="46">
        <f t="shared" ref="N28:N90" si="17">SUM(C28:M28)</f>
        <v>2010</v>
      </c>
    </row>
    <row r="29" spans="1:16" ht="14.25" x14ac:dyDescent="0.45">
      <c r="A29">
        <v>26</v>
      </c>
      <c r="B29" s="138" t="s">
        <v>3</v>
      </c>
      <c r="C29" s="7">
        <v>2</v>
      </c>
      <c r="D29" s="7">
        <v>3</v>
      </c>
      <c r="E29" s="7">
        <v>3</v>
      </c>
      <c r="F29" s="7">
        <v>2</v>
      </c>
      <c r="G29" s="7">
        <v>3</v>
      </c>
      <c r="H29" s="7">
        <v>1</v>
      </c>
      <c r="I29" s="7">
        <v>3</v>
      </c>
      <c r="J29" s="7">
        <v>3</v>
      </c>
      <c r="K29" s="7">
        <v>1</v>
      </c>
      <c r="L29" s="7">
        <v>3</v>
      </c>
      <c r="M29" s="7">
        <v>4</v>
      </c>
      <c r="N29" s="46">
        <f t="shared" si="17"/>
        <v>28</v>
      </c>
    </row>
    <row r="30" spans="1:16" ht="14.25" x14ac:dyDescent="0.45">
      <c r="A30">
        <v>27</v>
      </c>
      <c r="B30" s="138" t="s">
        <v>4</v>
      </c>
      <c r="C30" s="7">
        <v>80</v>
      </c>
      <c r="D30" s="7">
        <v>100</v>
      </c>
      <c r="E30" s="7">
        <v>80</v>
      </c>
      <c r="F30" s="7">
        <v>0</v>
      </c>
      <c r="G30" s="7">
        <v>130</v>
      </c>
      <c r="H30" s="7">
        <v>60</v>
      </c>
      <c r="I30" s="7">
        <v>200</v>
      </c>
      <c r="J30" s="7">
        <v>140</v>
      </c>
      <c r="K30" s="7">
        <v>0</v>
      </c>
      <c r="L30" s="7">
        <v>130</v>
      </c>
      <c r="M30" s="7">
        <v>370</v>
      </c>
      <c r="N30" s="46">
        <f t="shared" si="17"/>
        <v>1290</v>
      </c>
    </row>
    <row r="31" spans="1:16" ht="14.25" x14ac:dyDescent="0.45">
      <c r="A31">
        <v>28</v>
      </c>
      <c r="B31" s="138" t="s">
        <v>5</v>
      </c>
      <c r="C31" s="7">
        <v>2</v>
      </c>
      <c r="D31" s="7">
        <v>2</v>
      </c>
      <c r="E31" s="7">
        <v>1</v>
      </c>
      <c r="F31" s="7">
        <v>0</v>
      </c>
      <c r="G31" s="7">
        <v>1</v>
      </c>
      <c r="H31" s="7">
        <v>1</v>
      </c>
      <c r="I31" s="7">
        <v>3</v>
      </c>
      <c r="J31" s="7">
        <v>3</v>
      </c>
      <c r="K31" s="7">
        <v>0</v>
      </c>
      <c r="L31" s="7">
        <v>3</v>
      </c>
      <c r="M31" s="7">
        <v>6</v>
      </c>
      <c r="N31" s="46">
        <f t="shared" si="17"/>
        <v>22</v>
      </c>
    </row>
    <row r="32" spans="1:16" ht="14.25" x14ac:dyDescent="0.45">
      <c r="A32">
        <v>29</v>
      </c>
      <c r="B32" s="138" t="s">
        <v>6</v>
      </c>
      <c r="C32" s="7">
        <v>112</v>
      </c>
      <c r="D32" s="7">
        <v>140</v>
      </c>
      <c r="E32" s="7">
        <v>100</v>
      </c>
      <c r="F32" s="7">
        <v>43</v>
      </c>
      <c r="G32" s="7">
        <v>130</v>
      </c>
      <c r="H32" s="7">
        <v>70</v>
      </c>
      <c r="I32" s="7">
        <v>145</v>
      </c>
      <c r="J32" s="7">
        <v>185</v>
      </c>
      <c r="K32" s="7">
        <v>16</v>
      </c>
      <c r="L32" s="7">
        <v>130</v>
      </c>
      <c r="M32" s="7">
        <v>130</v>
      </c>
      <c r="N32" s="46">
        <f t="shared" si="17"/>
        <v>1201</v>
      </c>
    </row>
    <row r="33" spans="1:14" ht="14.25" x14ac:dyDescent="0.45">
      <c r="A33">
        <v>30</v>
      </c>
      <c r="B33" s="138" t="s">
        <v>7</v>
      </c>
      <c r="C33" s="7">
        <v>2</v>
      </c>
      <c r="D33" s="7">
        <v>4</v>
      </c>
      <c r="E33" s="7">
        <v>4</v>
      </c>
      <c r="F33" s="7">
        <v>1</v>
      </c>
      <c r="G33" s="7">
        <v>1</v>
      </c>
      <c r="H33" s="7">
        <v>2</v>
      </c>
      <c r="I33" s="7">
        <v>4</v>
      </c>
      <c r="J33" s="7">
        <v>4</v>
      </c>
      <c r="K33" s="7">
        <v>3</v>
      </c>
      <c r="L33" s="7">
        <v>2</v>
      </c>
      <c r="M33" s="7">
        <v>2</v>
      </c>
      <c r="N33" s="46">
        <f t="shared" si="17"/>
        <v>29</v>
      </c>
    </row>
    <row r="34" spans="1:14" ht="14.25" x14ac:dyDescent="0.45">
      <c r="A34">
        <v>31</v>
      </c>
      <c r="B34" s="138" t="s">
        <v>8</v>
      </c>
      <c r="C34" s="7">
        <v>40</v>
      </c>
      <c r="D34" s="7">
        <v>50</v>
      </c>
      <c r="E34" s="7">
        <v>39</v>
      </c>
      <c r="F34" s="7">
        <v>28.2</v>
      </c>
      <c r="G34" s="7">
        <v>33</v>
      </c>
      <c r="H34" s="7">
        <v>37</v>
      </c>
      <c r="I34" s="7">
        <v>72</v>
      </c>
      <c r="J34" s="7">
        <v>73</v>
      </c>
      <c r="K34" s="7">
        <v>38</v>
      </c>
      <c r="L34" s="7">
        <v>30</v>
      </c>
      <c r="M34" s="7">
        <v>100</v>
      </c>
      <c r="N34" s="46">
        <f t="shared" si="17"/>
        <v>540.20000000000005</v>
      </c>
    </row>
    <row r="35" spans="1:14" ht="14.25" x14ac:dyDescent="0.45">
      <c r="A35">
        <v>32</v>
      </c>
      <c r="B35" s="138" t="s">
        <v>9</v>
      </c>
      <c r="C35" s="7">
        <v>1</v>
      </c>
      <c r="D35" s="7">
        <v>1</v>
      </c>
      <c r="E35" s="7">
        <v>2</v>
      </c>
      <c r="G35" s="7">
        <v>1</v>
      </c>
      <c r="H35" s="7">
        <v>1</v>
      </c>
      <c r="I35" s="7">
        <v>3</v>
      </c>
      <c r="J35" s="7">
        <v>2</v>
      </c>
      <c r="K35" s="7">
        <v>2</v>
      </c>
      <c r="L35" s="7">
        <v>2</v>
      </c>
      <c r="M35" s="7">
        <v>3</v>
      </c>
      <c r="N35" s="46">
        <f t="shared" si="17"/>
        <v>18</v>
      </c>
    </row>
    <row r="36" spans="1:14" x14ac:dyDescent="0.3">
      <c r="A36">
        <v>33</v>
      </c>
      <c r="B36" s="138" t="s">
        <v>10</v>
      </c>
      <c r="C36" s="7">
        <v>25.5</v>
      </c>
      <c r="D36" s="7">
        <v>45</v>
      </c>
      <c r="E36" s="7">
        <v>46</v>
      </c>
      <c r="F36" s="7">
        <v>12.7</v>
      </c>
      <c r="G36" s="7">
        <v>42</v>
      </c>
      <c r="H36" s="7">
        <v>20</v>
      </c>
      <c r="I36" s="7">
        <v>32</v>
      </c>
      <c r="J36" s="7">
        <v>150</v>
      </c>
      <c r="K36" s="7">
        <v>14</v>
      </c>
      <c r="L36" s="7">
        <v>60</v>
      </c>
      <c r="M36" s="7">
        <v>31</v>
      </c>
      <c r="N36" s="46">
        <f t="shared" si="17"/>
        <v>478.2</v>
      </c>
    </row>
    <row r="37" spans="1:14" x14ac:dyDescent="0.3">
      <c r="A37">
        <v>34</v>
      </c>
      <c r="B37" s="138" t="s">
        <v>11</v>
      </c>
      <c r="C37" s="7">
        <v>3</v>
      </c>
      <c r="D37" s="7">
        <v>4</v>
      </c>
      <c r="E37" s="7">
        <v>2</v>
      </c>
      <c r="F37" s="7">
        <v>2</v>
      </c>
      <c r="G37" s="7">
        <v>2</v>
      </c>
      <c r="H37" s="7">
        <v>2</v>
      </c>
      <c r="I37" s="7">
        <v>4</v>
      </c>
      <c r="J37" s="7">
        <v>4</v>
      </c>
      <c r="K37" s="7">
        <v>0</v>
      </c>
      <c r="L37" s="7">
        <v>3</v>
      </c>
      <c r="M37" s="7">
        <v>3</v>
      </c>
      <c r="N37" s="46">
        <f t="shared" si="17"/>
        <v>29</v>
      </c>
    </row>
    <row r="38" spans="1:14" x14ac:dyDescent="0.3">
      <c r="A38">
        <v>35</v>
      </c>
      <c r="B38" s="138" t="s">
        <v>12</v>
      </c>
      <c r="C38" s="7">
        <v>40</v>
      </c>
      <c r="D38" s="7">
        <v>100</v>
      </c>
      <c r="E38" s="7">
        <v>45</v>
      </c>
      <c r="F38" s="7">
        <v>0</v>
      </c>
      <c r="G38" s="7">
        <v>130</v>
      </c>
      <c r="H38" s="7">
        <v>35</v>
      </c>
      <c r="I38" s="7">
        <v>120</v>
      </c>
      <c r="J38" s="7">
        <v>90</v>
      </c>
      <c r="K38" s="7">
        <v>0</v>
      </c>
      <c r="L38" s="7">
        <v>55</v>
      </c>
      <c r="M38" s="7">
        <v>170</v>
      </c>
      <c r="N38" s="46">
        <f t="shared" si="17"/>
        <v>785</v>
      </c>
    </row>
    <row r="39" spans="1:14" x14ac:dyDescent="0.3">
      <c r="A39">
        <v>36</v>
      </c>
      <c r="B39" s="138" t="s">
        <v>13</v>
      </c>
      <c r="C39" s="7">
        <v>1</v>
      </c>
      <c r="D39" s="7">
        <v>2</v>
      </c>
      <c r="E39" s="7">
        <v>2</v>
      </c>
      <c r="F39" s="7">
        <v>0</v>
      </c>
      <c r="G39" s="7">
        <v>3</v>
      </c>
      <c r="H39" s="7">
        <v>1</v>
      </c>
      <c r="I39" s="7">
        <v>2</v>
      </c>
      <c r="J39" s="7">
        <v>2</v>
      </c>
      <c r="K39" s="7">
        <v>0</v>
      </c>
      <c r="L39" s="7">
        <v>1</v>
      </c>
      <c r="M39" s="7">
        <v>3</v>
      </c>
      <c r="N39" s="46">
        <f t="shared" si="17"/>
        <v>17</v>
      </c>
    </row>
    <row r="40" spans="1:14" x14ac:dyDescent="0.3">
      <c r="A40">
        <v>37</v>
      </c>
      <c r="N40" s="46">
        <f t="shared" si="17"/>
        <v>0</v>
      </c>
    </row>
    <row r="41" spans="1:14" x14ac:dyDescent="0.3">
      <c r="A41">
        <v>38</v>
      </c>
      <c r="N41" s="46">
        <f t="shared" si="17"/>
        <v>0</v>
      </c>
    </row>
    <row r="42" spans="1:14" ht="14.25" hidden="1" x14ac:dyDescent="0.45">
      <c r="A42">
        <v>39</v>
      </c>
      <c r="N42" s="46">
        <f t="shared" si="17"/>
        <v>0</v>
      </c>
    </row>
    <row r="43" spans="1:14" ht="14.25" hidden="1" x14ac:dyDescent="0.45">
      <c r="A43">
        <v>40</v>
      </c>
      <c r="N43" s="46">
        <f t="shared" si="17"/>
        <v>0</v>
      </c>
    </row>
    <row r="44" spans="1:14" ht="14.25" hidden="1" x14ac:dyDescent="0.45">
      <c r="A44">
        <v>41</v>
      </c>
      <c r="N44" s="46">
        <f t="shared" si="17"/>
        <v>0</v>
      </c>
    </row>
    <row r="45" spans="1:14" ht="14.25" hidden="1" x14ac:dyDescent="0.45">
      <c r="A45">
        <v>42</v>
      </c>
      <c r="N45" s="46">
        <f t="shared" si="17"/>
        <v>0</v>
      </c>
    </row>
    <row r="46" spans="1:14" ht="14.25" hidden="1" x14ac:dyDescent="0.45">
      <c r="A46">
        <v>43</v>
      </c>
      <c r="N46" s="46">
        <f t="shared" si="17"/>
        <v>0</v>
      </c>
    </row>
    <row r="47" spans="1:14" ht="14.25" hidden="1" x14ac:dyDescent="0.45">
      <c r="A47">
        <v>44</v>
      </c>
      <c r="N47" s="46">
        <f t="shared" si="17"/>
        <v>0</v>
      </c>
    </row>
    <row r="48" spans="1:14" ht="14.25" hidden="1" x14ac:dyDescent="0.45">
      <c r="A48">
        <v>45</v>
      </c>
      <c r="N48" s="46">
        <f t="shared" si="17"/>
        <v>0</v>
      </c>
    </row>
    <row r="49" spans="1:14" ht="14.25" hidden="1" x14ac:dyDescent="0.45">
      <c r="A49">
        <v>46</v>
      </c>
      <c r="N49" s="46">
        <f t="shared" si="17"/>
        <v>0</v>
      </c>
    </row>
    <row r="50" spans="1:14" ht="14.25" hidden="1" x14ac:dyDescent="0.45">
      <c r="A50">
        <v>47</v>
      </c>
      <c r="N50" s="46">
        <f t="shared" si="17"/>
        <v>0</v>
      </c>
    </row>
    <row r="51" spans="1:14" ht="14.25" hidden="1" x14ac:dyDescent="0.45">
      <c r="A51">
        <v>48</v>
      </c>
      <c r="N51" s="46">
        <f t="shared" si="17"/>
        <v>0</v>
      </c>
    </row>
    <row r="52" spans="1:14" s="3" customFormat="1" x14ac:dyDescent="0.3">
      <c r="A52" s="3">
        <v>50</v>
      </c>
      <c r="B52" s="3" t="s">
        <v>14</v>
      </c>
      <c r="C52" s="9"/>
      <c r="D52" s="9"/>
      <c r="E52" s="9"/>
      <c r="F52" s="9"/>
      <c r="G52" s="9"/>
      <c r="H52" s="9"/>
      <c r="I52" s="9"/>
      <c r="J52" s="9"/>
      <c r="K52" s="9"/>
      <c r="L52" s="9"/>
      <c r="M52" s="9"/>
      <c r="N52" s="9"/>
    </row>
    <row r="53" spans="1:14" x14ac:dyDescent="0.3">
      <c r="A53">
        <v>51</v>
      </c>
      <c r="B53" t="s">
        <v>82</v>
      </c>
      <c r="M53" s="7">
        <v>5000</v>
      </c>
      <c r="N53" s="46">
        <f t="shared" si="17"/>
        <v>5000</v>
      </c>
    </row>
    <row r="54" spans="1:14" x14ac:dyDescent="0.3">
      <c r="A54">
        <v>52</v>
      </c>
      <c r="B54" t="s">
        <v>15</v>
      </c>
      <c r="M54" s="7" t="s">
        <v>45</v>
      </c>
      <c r="N54" s="46">
        <f t="shared" si="17"/>
        <v>0</v>
      </c>
    </row>
    <row r="55" spans="1:14" x14ac:dyDescent="0.3">
      <c r="A55">
        <v>53</v>
      </c>
      <c r="B55" t="s">
        <v>17</v>
      </c>
      <c r="M55" s="7">
        <v>12</v>
      </c>
      <c r="N55" s="46">
        <f t="shared" si="17"/>
        <v>12</v>
      </c>
    </row>
    <row r="56" spans="1:14" x14ac:dyDescent="0.3">
      <c r="A56">
        <v>54</v>
      </c>
      <c r="B56" t="s">
        <v>208</v>
      </c>
      <c r="M56" s="7">
        <v>83500</v>
      </c>
      <c r="N56" s="46">
        <f t="shared" si="17"/>
        <v>83500</v>
      </c>
    </row>
    <row r="57" spans="1:14" x14ac:dyDescent="0.3">
      <c r="A57">
        <v>55</v>
      </c>
      <c r="B57" t="s">
        <v>18</v>
      </c>
      <c r="N57" s="46">
        <f t="shared" si="17"/>
        <v>0</v>
      </c>
    </row>
    <row r="58" spans="1:14" x14ac:dyDescent="0.3">
      <c r="A58">
        <v>56</v>
      </c>
      <c r="B58" t="s">
        <v>19</v>
      </c>
      <c r="N58" s="46">
        <f t="shared" si="17"/>
        <v>0</v>
      </c>
    </row>
    <row r="59" spans="1:14" x14ac:dyDescent="0.3">
      <c r="A59">
        <v>57</v>
      </c>
      <c r="B59" t="s">
        <v>20</v>
      </c>
      <c r="M59" s="7">
        <v>0</v>
      </c>
      <c r="N59" s="46">
        <f t="shared" si="17"/>
        <v>0</v>
      </c>
    </row>
    <row r="60" spans="1:14" x14ac:dyDescent="0.3">
      <c r="A60">
        <v>58</v>
      </c>
      <c r="B60" t="s">
        <v>21</v>
      </c>
      <c r="N60" s="46">
        <f t="shared" si="17"/>
        <v>0</v>
      </c>
    </row>
    <row r="61" spans="1:14" x14ac:dyDescent="0.3">
      <c r="A61">
        <v>59</v>
      </c>
      <c r="N61" s="46">
        <f t="shared" si="17"/>
        <v>0</v>
      </c>
    </row>
    <row r="62" spans="1:14" x14ac:dyDescent="0.3">
      <c r="A62">
        <v>60</v>
      </c>
      <c r="N62" s="46">
        <f t="shared" si="17"/>
        <v>0</v>
      </c>
    </row>
    <row r="63" spans="1:14" ht="14.25" hidden="1" x14ac:dyDescent="0.45">
      <c r="A63">
        <v>61</v>
      </c>
      <c r="N63" s="46">
        <f t="shared" si="17"/>
        <v>0</v>
      </c>
    </row>
    <row r="64" spans="1:14" ht="14.25" hidden="1" x14ac:dyDescent="0.45">
      <c r="A64">
        <v>62</v>
      </c>
      <c r="N64" s="46">
        <f t="shared" si="17"/>
        <v>0</v>
      </c>
    </row>
    <row r="65" spans="1:14" ht="14.25" hidden="1" x14ac:dyDescent="0.45">
      <c r="A65">
        <v>63</v>
      </c>
      <c r="N65" s="46">
        <f t="shared" si="17"/>
        <v>0</v>
      </c>
    </row>
    <row r="66" spans="1:14" ht="14.25" hidden="1" x14ac:dyDescent="0.45">
      <c r="A66">
        <v>64</v>
      </c>
      <c r="N66" s="46">
        <f t="shared" si="17"/>
        <v>0</v>
      </c>
    </row>
    <row r="67" spans="1:14" ht="14.25" hidden="1" x14ac:dyDescent="0.45">
      <c r="A67">
        <v>65</v>
      </c>
      <c r="N67" s="46">
        <f t="shared" si="17"/>
        <v>0</v>
      </c>
    </row>
    <row r="68" spans="1:14" ht="14.25" hidden="1" x14ac:dyDescent="0.45">
      <c r="A68">
        <v>66</v>
      </c>
      <c r="N68" s="46">
        <f t="shared" si="17"/>
        <v>0</v>
      </c>
    </row>
    <row r="69" spans="1:14" ht="14.25" hidden="1" x14ac:dyDescent="0.45">
      <c r="A69">
        <v>67</v>
      </c>
      <c r="N69" s="46">
        <f t="shared" si="17"/>
        <v>0</v>
      </c>
    </row>
    <row r="70" spans="1:14" ht="14.25" hidden="1" x14ac:dyDescent="0.45">
      <c r="A70">
        <v>68</v>
      </c>
      <c r="N70" s="46">
        <f t="shared" si="17"/>
        <v>0</v>
      </c>
    </row>
    <row r="71" spans="1:14" ht="14.25" hidden="1" x14ac:dyDescent="0.45">
      <c r="A71">
        <v>69</v>
      </c>
      <c r="N71" s="46">
        <f t="shared" si="17"/>
        <v>0</v>
      </c>
    </row>
    <row r="72" spans="1:14" s="5" customFormat="1" x14ac:dyDescent="0.3">
      <c r="A72" s="5">
        <v>100</v>
      </c>
      <c r="B72" s="5" t="s">
        <v>22</v>
      </c>
      <c r="C72" s="10"/>
      <c r="D72" s="10"/>
      <c r="E72" s="10"/>
      <c r="F72" s="10"/>
      <c r="G72" s="10"/>
      <c r="H72" s="10"/>
      <c r="I72" s="10"/>
      <c r="J72" s="10"/>
      <c r="K72" s="10"/>
      <c r="L72" s="10"/>
      <c r="M72" s="10"/>
      <c r="N72" s="10"/>
    </row>
    <row r="73" spans="1:14" x14ac:dyDescent="0.3">
      <c r="A73">
        <v>101</v>
      </c>
      <c r="B73" t="s">
        <v>23</v>
      </c>
      <c r="D73" s="7">
        <v>1</v>
      </c>
      <c r="E73" s="7">
        <v>1</v>
      </c>
      <c r="F73" s="7">
        <v>1</v>
      </c>
      <c r="G73" s="7">
        <v>1</v>
      </c>
      <c r="I73" s="7">
        <v>1</v>
      </c>
      <c r="J73" s="7">
        <v>1</v>
      </c>
      <c r="K73" s="7">
        <v>1</v>
      </c>
      <c r="M73" s="7">
        <v>1</v>
      </c>
      <c r="N73" s="46">
        <f t="shared" si="17"/>
        <v>8</v>
      </c>
    </row>
    <row r="74" spans="1:14" x14ac:dyDescent="0.3">
      <c r="A74">
        <v>102</v>
      </c>
      <c r="B74" t="s">
        <v>66</v>
      </c>
      <c r="D74" s="7">
        <v>0</v>
      </c>
      <c r="E74" s="7">
        <v>0</v>
      </c>
      <c r="F74" s="7">
        <v>1</v>
      </c>
      <c r="G74" s="7">
        <v>0</v>
      </c>
      <c r="I74" s="7">
        <v>0</v>
      </c>
      <c r="J74" s="7">
        <v>0</v>
      </c>
      <c r="K74" s="7">
        <v>0</v>
      </c>
      <c r="M74" s="7">
        <v>0</v>
      </c>
      <c r="N74" s="46">
        <f t="shared" si="17"/>
        <v>1</v>
      </c>
    </row>
    <row r="75" spans="1:14" x14ac:dyDescent="0.3">
      <c r="A75">
        <v>103</v>
      </c>
      <c r="B75" t="s">
        <v>24</v>
      </c>
      <c r="D75" s="7">
        <v>0</v>
      </c>
      <c r="E75" s="7">
        <v>1</v>
      </c>
      <c r="F75" s="7">
        <v>0</v>
      </c>
      <c r="G75" s="7">
        <v>1</v>
      </c>
      <c r="I75" s="7">
        <v>1</v>
      </c>
      <c r="J75" s="7">
        <v>1</v>
      </c>
      <c r="K75" s="7">
        <v>0</v>
      </c>
      <c r="M75" s="7">
        <v>3</v>
      </c>
      <c r="N75" s="46">
        <f t="shared" si="17"/>
        <v>7</v>
      </c>
    </row>
    <row r="76" spans="1:14" x14ac:dyDescent="0.3">
      <c r="A76">
        <v>104</v>
      </c>
      <c r="B76" t="s">
        <v>25</v>
      </c>
      <c r="D76" s="7">
        <v>1</v>
      </c>
      <c r="E76" s="7">
        <v>2</v>
      </c>
      <c r="F76" s="7">
        <v>1</v>
      </c>
      <c r="G76" s="7">
        <v>2</v>
      </c>
      <c r="I76" s="7">
        <v>2</v>
      </c>
      <c r="J76" s="7">
        <v>1</v>
      </c>
      <c r="K76" s="7">
        <v>1</v>
      </c>
      <c r="M76" s="7">
        <v>0</v>
      </c>
      <c r="N76" s="46">
        <f t="shared" si="17"/>
        <v>10</v>
      </c>
    </row>
    <row r="77" spans="1:14" x14ac:dyDescent="0.3">
      <c r="A77">
        <v>105</v>
      </c>
      <c r="B77" t="s">
        <v>26</v>
      </c>
      <c r="D77" s="7">
        <v>0</v>
      </c>
      <c r="E77" s="7">
        <v>1</v>
      </c>
      <c r="F77" s="7">
        <v>1</v>
      </c>
      <c r="G77" s="7">
        <v>0</v>
      </c>
      <c r="I77" s="7">
        <v>1</v>
      </c>
      <c r="J77" s="7">
        <v>2</v>
      </c>
      <c r="K77" s="7">
        <v>0</v>
      </c>
      <c r="M77" s="7">
        <v>1</v>
      </c>
      <c r="N77" s="46">
        <f t="shared" si="17"/>
        <v>6</v>
      </c>
    </row>
    <row r="78" spans="1:14" x14ac:dyDescent="0.3">
      <c r="A78">
        <v>106</v>
      </c>
      <c r="M78" s="7">
        <v>1</v>
      </c>
      <c r="N78" s="46">
        <f t="shared" si="17"/>
        <v>1</v>
      </c>
    </row>
    <row r="79" spans="1:14" x14ac:dyDescent="0.3">
      <c r="A79">
        <v>107</v>
      </c>
      <c r="N79" s="46">
        <f t="shared" si="17"/>
        <v>0</v>
      </c>
    </row>
    <row r="80" spans="1:14" x14ac:dyDescent="0.3">
      <c r="A80">
        <v>108</v>
      </c>
      <c r="N80" s="46">
        <f t="shared" si="17"/>
        <v>0</v>
      </c>
    </row>
    <row r="81" spans="1:14" x14ac:dyDescent="0.3">
      <c r="A81">
        <v>109</v>
      </c>
      <c r="N81" s="46">
        <f t="shared" si="17"/>
        <v>0</v>
      </c>
    </row>
    <row r="82" spans="1:14" ht="14.25" hidden="1" x14ac:dyDescent="0.45">
      <c r="A82">
        <v>110</v>
      </c>
      <c r="N82" s="46">
        <f t="shared" si="17"/>
        <v>0</v>
      </c>
    </row>
    <row r="83" spans="1:14" ht="14.25" hidden="1" x14ac:dyDescent="0.45">
      <c r="A83">
        <v>111</v>
      </c>
      <c r="N83" s="46">
        <f t="shared" si="17"/>
        <v>0</v>
      </c>
    </row>
    <row r="84" spans="1:14" ht="14.25" hidden="1" x14ac:dyDescent="0.45">
      <c r="A84">
        <v>112</v>
      </c>
      <c r="N84" s="46">
        <f t="shared" si="17"/>
        <v>0</v>
      </c>
    </row>
    <row r="85" spans="1:14" ht="14.25" hidden="1" x14ac:dyDescent="0.45">
      <c r="A85">
        <v>113</v>
      </c>
      <c r="N85" s="46">
        <f t="shared" si="17"/>
        <v>0</v>
      </c>
    </row>
    <row r="86" spans="1:14" ht="14.25" hidden="1" x14ac:dyDescent="0.45">
      <c r="A86">
        <v>114</v>
      </c>
      <c r="N86" s="46">
        <f t="shared" si="17"/>
        <v>0</v>
      </c>
    </row>
    <row r="87" spans="1:14" ht="14.25" hidden="1" x14ac:dyDescent="0.45">
      <c r="A87">
        <v>115</v>
      </c>
      <c r="N87" s="46">
        <f t="shared" si="17"/>
        <v>0</v>
      </c>
    </row>
    <row r="88" spans="1:14" ht="14.25" hidden="1" x14ac:dyDescent="0.45">
      <c r="A88">
        <v>116</v>
      </c>
      <c r="N88" s="46">
        <f t="shared" si="17"/>
        <v>0</v>
      </c>
    </row>
    <row r="89" spans="1:14" ht="14.25" hidden="1" x14ac:dyDescent="0.45">
      <c r="A89">
        <v>117</v>
      </c>
      <c r="N89" s="46">
        <f t="shared" si="17"/>
        <v>0</v>
      </c>
    </row>
    <row r="90" spans="1:14" ht="14.25" hidden="1" x14ac:dyDescent="0.45">
      <c r="A90">
        <v>118</v>
      </c>
      <c r="N90" s="46">
        <f t="shared" si="17"/>
        <v>0</v>
      </c>
    </row>
    <row r="91" spans="1:14" ht="14.25" hidden="1" x14ac:dyDescent="0.45">
      <c r="A91">
        <v>119</v>
      </c>
      <c r="N91" s="46">
        <f>SUM(C91:M91)</f>
        <v>0</v>
      </c>
    </row>
    <row r="92" spans="1:14" ht="14.25" hidden="1" x14ac:dyDescent="0.45">
      <c r="A92">
        <v>120</v>
      </c>
      <c r="N92" s="46">
        <f>SUM(C92:M92)</f>
        <v>0</v>
      </c>
    </row>
    <row r="93" spans="1:14" s="4" customFormat="1" x14ac:dyDescent="0.3">
      <c r="A93" s="4">
        <v>150</v>
      </c>
      <c r="B93" s="4" t="s">
        <v>29</v>
      </c>
      <c r="C93" s="11"/>
      <c r="D93" s="11"/>
      <c r="E93" s="11"/>
      <c r="F93" s="11"/>
      <c r="G93" s="11"/>
      <c r="H93" s="11"/>
      <c r="I93" s="11"/>
      <c r="J93" s="11"/>
      <c r="K93" s="11"/>
      <c r="L93" s="11"/>
      <c r="M93" s="11"/>
      <c r="N93" s="11"/>
    </row>
    <row r="94" spans="1:14" x14ac:dyDescent="0.3">
      <c r="A94">
        <v>151</v>
      </c>
      <c r="B94" t="s">
        <v>27</v>
      </c>
      <c r="C94" s="7" t="s">
        <v>77</v>
      </c>
      <c r="D94" s="7" t="s">
        <v>77</v>
      </c>
      <c r="E94" s="7" t="s">
        <v>77</v>
      </c>
      <c r="F94" s="7" t="s">
        <v>77</v>
      </c>
      <c r="G94" s="7" t="s">
        <v>77</v>
      </c>
      <c r="H94" s="7" t="s">
        <v>77</v>
      </c>
      <c r="I94" s="7" t="s">
        <v>98</v>
      </c>
      <c r="J94" s="7" t="s">
        <v>105</v>
      </c>
      <c r="K94" s="7" t="s">
        <v>77</v>
      </c>
      <c r="L94" s="7" t="s">
        <v>77</v>
      </c>
      <c r="M94" s="7" t="s">
        <v>43</v>
      </c>
      <c r="N94" s="46">
        <f t="shared" ref="N94:N116" si="18">SUM(C94:M94)</f>
        <v>0</v>
      </c>
    </row>
    <row r="95" spans="1:14" x14ac:dyDescent="0.3">
      <c r="A95">
        <v>152</v>
      </c>
      <c r="B95" t="s">
        <v>28</v>
      </c>
      <c r="C95" s="7">
        <v>9800</v>
      </c>
      <c r="D95" s="7">
        <v>15000</v>
      </c>
      <c r="E95" s="7">
        <v>14000</v>
      </c>
      <c r="F95" s="7">
        <v>5500</v>
      </c>
      <c r="G95" s="7">
        <v>12000</v>
      </c>
      <c r="H95" s="7">
        <v>12000</v>
      </c>
      <c r="I95" s="7">
        <v>17000</v>
      </c>
      <c r="J95" s="7">
        <v>35700</v>
      </c>
      <c r="K95" s="7">
        <v>5000</v>
      </c>
      <c r="L95" s="7">
        <v>7700</v>
      </c>
      <c r="M95" s="7">
        <v>31500</v>
      </c>
      <c r="N95" s="46">
        <f>SUM(C95:M95)</f>
        <v>165200</v>
      </c>
    </row>
    <row r="96" spans="1:14" x14ac:dyDescent="0.3">
      <c r="A96">
        <v>153</v>
      </c>
      <c r="B96" t="s">
        <v>30</v>
      </c>
      <c r="D96" s="7">
        <v>1450</v>
      </c>
      <c r="E96" s="7">
        <v>1540</v>
      </c>
      <c r="F96" s="7">
        <v>1000</v>
      </c>
      <c r="G96" s="7">
        <v>2600</v>
      </c>
      <c r="I96" s="7" t="s">
        <v>96</v>
      </c>
      <c r="J96" s="7">
        <v>2100</v>
      </c>
      <c r="K96" s="7">
        <v>500</v>
      </c>
      <c r="L96" s="7">
        <v>1900</v>
      </c>
      <c r="N96" s="46">
        <f t="shared" si="18"/>
        <v>11090</v>
      </c>
    </row>
    <row r="97" spans="1:19" x14ac:dyDescent="0.3">
      <c r="A97">
        <v>154</v>
      </c>
      <c r="B97" t="s">
        <v>31</v>
      </c>
      <c r="C97" s="7">
        <v>140</v>
      </c>
      <c r="D97" s="7">
        <v>164</v>
      </c>
      <c r="E97" s="7">
        <v>120</v>
      </c>
      <c r="F97" s="7">
        <v>140</v>
      </c>
      <c r="G97" s="7">
        <v>150</v>
      </c>
      <c r="H97" s="7">
        <v>120</v>
      </c>
      <c r="I97" s="7">
        <v>200</v>
      </c>
      <c r="J97" s="7">
        <v>150</v>
      </c>
      <c r="K97" s="7">
        <v>100</v>
      </c>
      <c r="L97" s="7">
        <v>380</v>
      </c>
      <c r="M97" s="7">
        <v>210</v>
      </c>
      <c r="N97" s="46">
        <f t="shared" si="18"/>
        <v>1874</v>
      </c>
    </row>
    <row r="98" spans="1:19" x14ac:dyDescent="0.3">
      <c r="A98">
        <v>155</v>
      </c>
      <c r="B98" t="s">
        <v>32</v>
      </c>
      <c r="C98" s="7" t="s">
        <v>44</v>
      </c>
      <c r="D98" s="7" t="s">
        <v>65</v>
      </c>
      <c r="E98" s="7" t="s">
        <v>44</v>
      </c>
      <c r="F98" s="7" t="s">
        <v>44</v>
      </c>
      <c r="G98" s="7" t="s">
        <v>44</v>
      </c>
      <c r="H98" s="7" t="s">
        <v>44</v>
      </c>
      <c r="I98" s="7" t="s">
        <v>44</v>
      </c>
      <c r="J98" s="7" t="s">
        <v>65</v>
      </c>
      <c r="K98" s="7" t="s">
        <v>44</v>
      </c>
      <c r="L98" s="7" t="s">
        <v>44</v>
      </c>
      <c r="M98" s="7" t="s">
        <v>44</v>
      </c>
      <c r="N98" s="46">
        <f t="shared" si="18"/>
        <v>0</v>
      </c>
    </row>
    <row r="99" spans="1:19" x14ac:dyDescent="0.3">
      <c r="A99">
        <v>156</v>
      </c>
      <c r="B99" t="s">
        <v>47</v>
      </c>
      <c r="C99" s="7">
        <v>14</v>
      </c>
      <c r="D99" s="7">
        <v>11</v>
      </c>
      <c r="E99" s="7">
        <v>14</v>
      </c>
      <c r="F99" s="7">
        <v>14</v>
      </c>
      <c r="G99" s="7">
        <v>14</v>
      </c>
      <c r="H99" s="7">
        <v>13</v>
      </c>
      <c r="I99" s="7">
        <v>13</v>
      </c>
      <c r="J99" s="7">
        <v>14</v>
      </c>
      <c r="K99" s="7">
        <v>12</v>
      </c>
      <c r="L99" s="7">
        <v>14</v>
      </c>
      <c r="M99" s="7">
        <v>14</v>
      </c>
      <c r="N99" s="49">
        <f>AVERAGE(C99:M99)</f>
        <v>13.363636363636363</v>
      </c>
    </row>
    <row r="100" spans="1:19" x14ac:dyDescent="0.3">
      <c r="A100">
        <v>157</v>
      </c>
      <c r="B100" t="s">
        <v>64</v>
      </c>
      <c r="C100" s="7" t="s">
        <v>65</v>
      </c>
      <c r="D100" s="7" t="s">
        <v>44</v>
      </c>
      <c r="E100" s="7" t="s">
        <v>44</v>
      </c>
      <c r="F100" s="7" t="s">
        <v>65</v>
      </c>
      <c r="G100" s="7" t="s">
        <v>44</v>
      </c>
      <c r="H100" s="7" t="s">
        <v>44</v>
      </c>
      <c r="I100" s="7" t="s">
        <v>44</v>
      </c>
      <c r="J100" s="7" t="s">
        <v>44</v>
      </c>
      <c r="K100" s="7" t="s">
        <v>44</v>
      </c>
      <c r="L100" s="7" t="s">
        <v>65</v>
      </c>
      <c r="M100" s="7" t="s">
        <v>44</v>
      </c>
      <c r="N100" s="46">
        <f>COUNTIF(C100:M100,"Ja")</f>
        <v>3</v>
      </c>
    </row>
    <row r="101" spans="1:19" x14ac:dyDescent="0.3">
      <c r="A101">
        <v>158</v>
      </c>
      <c r="B101" s="113" t="s">
        <v>169</v>
      </c>
      <c r="C101" s="20">
        <v>704607</v>
      </c>
      <c r="D101" s="20">
        <v>1265879</v>
      </c>
      <c r="E101" s="20">
        <v>752797</v>
      </c>
      <c r="F101" s="20">
        <v>233102</v>
      </c>
      <c r="G101" s="20">
        <v>1562968</v>
      </c>
      <c r="H101" s="20">
        <v>509725</v>
      </c>
      <c r="I101" s="20">
        <v>1886055</v>
      </c>
      <c r="J101" s="20">
        <v>1111361</v>
      </c>
      <c r="K101" s="20">
        <v>194765</v>
      </c>
      <c r="L101" s="20">
        <v>863363</v>
      </c>
      <c r="M101" s="20">
        <v>2695739</v>
      </c>
      <c r="N101" s="50">
        <f t="shared" si="18"/>
        <v>11780361</v>
      </c>
    </row>
    <row r="102" spans="1:19" x14ac:dyDescent="0.3">
      <c r="A102">
        <v>159</v>
      </c>
      <c r="B102" s="113" t="s">
        <v>170</v>
      </c>
      <c r="C102" s="20">
        <v>16472</v>
      </c>
      <c r="D102" s="20">
        <v>278613</v>
      </c>
      <c r="E102" s="20">
        <v>172836</v>
      </c>
      <c r="F102" s="20">
        <v>-105891</v>
      </c>
      <c r="G102" s="20">
        <v>324241</v>
      </c>
      <c r="H102" s="20">
        <v>170082</v>
      </c>
      <c r="I102" s="20">
        <v>407384</v>
      </c>
      <c r="J102" s="20">
        <v>275700</v>
      </c>
      <c r="K102" s="20">
        <v>53493</v>
      </c>
      <c r="L102" s="20">
        <v>-55098</v>
      </c>
      <c r="M102" s="20">
        <v>671758</v>
      </c>
      <c r="N102" s="50">
        <f t="shared" si="18"/>
        <v>2209590</v>
      </c>
    </row>
    <row r="103" spans="1:19" x14ac:dyDescent="0.3">
      <c r="A103">
        <v>160</v>
      </c>
      <c r="B103" s="113" t="s">
        <v>176</v>
      </c>
      <c r="C103" s="20">
        <v>94619</v>
      </c>
      <c r="D103" s="20">
        <v>108429</v>
      </c>
      <c r="E103" s="20">
        <v>66683</v>
      </c>
      <c r="F103" s="20">
        <v>73470</v>
      </c>
      <c r="G103" s="20">
        <v>204598</v>
      </c>
      <c r="H103" s="20">
        <v>43062</v>
      </c>
      <c r="I103" s="20">
        <v>206818</v>
      </c>
      <c r="J103" s="20">
        <v>154733</v>
      </c>
      <c r="K103" s="20">
        <v>17573</v>
      </c>
      <c r="L103" s="20">
        <v>102214</v>
      </c>
      <c r="M103" s="20">
        <v>397880</v>
      </c>
      <c r="N103" s="50">
        <f>SUM(C103:M103)</f>
        <v>1470079</v>
      </c>
    </row>
    <row r="104" spans="1:19" x14ac:dyDescent="0.3">
      <c r="A104">
        <v>161</v>
      </c>
      <c r="B104" s="113" t="s">
        <v>174</v>
      </c>
      <c r="C104" s="20">
        <v>373304</v>
      </c>
      <c r="D104" s="20">
        <v>442539</v>
      </c>
      <c r="E104" s="20">
        <v>349098</v>
      </c>
      <c r="F104" s="20">
        <v>145956</v>
      </c>
      <c r="G104" s="20">
        <v>468557</v>
      </c>
      <c r="H104" s="20">
        <v>278661</v>
      </c>
      <c r="I104" s="20">
        <v>708894</v>
      </c>
      <c r="J104" s="20">
        <v>576536</v>
      </c>
      <c r="K104" s="20">
        <v>79877</v>
      </c>
      <c r="L104" s="20">
        <v>543368</v>
      </c>
      <c r="M104" s="20">
        <v>1175670</v>
      </c>
      <c r="N104" s="50">
        <f t="shared" si="18"/>
        <v>5142460</v>
      </c>
    </row>
    <row r="105" spans="1:19" x14ac:dyDescent="0.3">
      <c r="A105">
        <v>162</v>
      </c>
      <c r="B105" s="113" t="s">
        <v>171</v>
      </c>
      <c r="C105" s="20">
        <v>75257</v>
      </c>
      <c r="D105" s="20">
        <v>145218</v>
      </c>
      <c r="E105" s="20">
        <v>71071</v>
      </c>
      <c r="F105" s="20">
        <v>18097</v>
      </c>
      <c r="G105" s="20">
        <v>43794</v>
      </c>
      <c r="H105" s="20">
        <v>-47102</v>
      </c>
      <c r="I105" s="20">
        <v>30912</v>
      </c>
      <c r="J105" s="20">
        <v>52985</v>
      </c>
      <c r="K105" s="20">
        <v>-4996</v>
      </c>
      <c r="L105" s="20">
        <v>-24826</v>
      </c>
      <c r="M105" s="20">
        <v>224629</v>
      </c>
      <c r="N105" s="50">
        <f t="shared" si="18"/>
        <v>585039</v>
      </c>
    </row>
    <row r="106" spans="1:19" x14ac:dyDescent="0.3">
      <c r="A106">
        <v>163</v>
      </c>
      <c r="B106" s="113" t="s">
        <v>175</v>
      </c>
      <c r="C106" s="20">
        <v>76540</v>
      </c>
      <c r="D106" s="20">
        <v>72441</v>
      </c>
      <c r="E106" s="20">
        <v>61148</v>
      </c>
      <c r="F106" s="20">
        <v>13393</v>
      </c>
      <c r="G106" s="20">
        <v>69904</v>
      </c>
      <c r="H106" s="20">
        <v>57842</v>
      </c>
      <c r="I106" s="20">
        <v>107909</v>
      </c>
      <c r="J106" s="20">
        <v>109655</v>
      </c>
      <c r="K106" s="20">
        <v>34596</v>
      </c>
      <c r="L106" s="20">
        <v>79470</v>
      </c>
      <c r="M106" s="20">
        <v>216708</v>
      </c>
      <c r="N106" s="50">
        <f t="shared" si="18"/>
        <v>899606</v>
      </c>
    </row>
    <row r="107" spans="1:19" x14ac:dyDescent="0.3">
      <c r="A107">
        <v>164</v>
      </c>
      <c r="B107" t="s">
        <v>87</v>
      </c>
      <c r="C107" s="20">
        <v>532800</v>
      </c>
      <c r="D107" s="20">
        <v>3033174</v>
      </c>
      <c r="E107" s="20">
        <v>771725.09</v>
      </c>
      <c r="F107" s="20">
        <v>94794.76</v>
      </c>
      <c r="G107" s="20">
        <v>682556.49</v>
      </c>
      <c r="H107" s="20">
        <v>1554819.46</v>
      </c>
      <c r="I107" s="20">
        <v>77800</v>
      </c>
      <c r="J107" s="20">
        <v>1482714.2</v>
      </c>
      <c r="K107" s="20">
        <v>188935</v>
      </c>
      <c r="L107" s="20">
        <v>1427527.92</v>
      </c>
      <c r="M107" s="20">
        <v>6028326</v>
      </c>
      <c r="N107" s="50">
        <f t="shared" si="18"/>
        <v>15875172.92</v>
      </c>
      <c r="P107" s="23" t="s">
        <v>115</v>
      </c>
      <c r="S107" s="51">
        <f>N107</f>
        <v>15875172.92</v>
      </c>
    </row>
    <row r="108" spans="1:19" x14ac:dyDescent="0.3">
      <c r="A108">
        <v>165</v>
      </c>
      <c r="B108" t="s">
        <v>88</v>
      </c>
      <c r="C108" s="20">
        <v>1445200</v>
      </c>
      <c r="D108" s="20">
        <v>482690</v>
      </c>
      <c r="E108" s="20">
        <v>595981.19999999995</v>
      </c>
      <c r="F108" s="20">
        <v>241459.45</v>
      </c>
      <c r="G108" s="20">
        <v>186449.85</v>
      </c>
      <c r="H108" s="20">
        <v>1174614.26</v>
      </c>
      <c r="I108" s="20">
        <v>372746.78</v>
      </c>
      <c r="J108" s="20">
        <v>227945.23</v>
      </c>
      <c r="K108" s="20">
        <v>84541</v>
      </c>
      <c r="L108" s="20">
        <v>1801191.85</v>
      </c>
      <c r="M108" s="20">
        <v>471951</v>
      </c>
      <c r="N108" s="50">
        <f t="shared" si="18"/>
        <v>7084770.620000001</v>
      </c>
      <c r="P108" s="23" t="s">
        <v>116</v>
      </c>
      <c r="S108" s="51">
        <f>N108</f>
        <v>7084770.620000001</v>
      </c>
    </row>
    <row r="109" spans="1:19" x14ac:dyDescent="0.3">
      <c r="A109">
        <v>166</v>
      </c>
      <c r="B109" t="s">
        <v>78</v>
      </c>
      <c r="C109" s="20">
        <v>97000</v>
      </c>
      <c r="D109" s="20">
        <v>5800</v>
      </c>
      <c r="E109" s="20">
        <v>90300</v>
      </c>
      <c r="F109" s="20">
        <v>65984.45</v>
      </c>
      <c r="G109" s="20">
        <v>197715.35</v>
      </c>
      <c r="H109" s="20">
        <v>56842.45</v>
      </c>
      <c r="I109" s="20">
        <v>330283.8</v>
      </c>
      <c r="J109" s="20">
        <v>59601</v>
      </c>
      <c r="K109" s="20">
        <v>14990</v>
      </c>
      <c r="L109" s="20">
        <v>178014.9</v>
      </c>
      <c r="M109" s="20">
        <v>191355</v>
      </c>
      <c r="N109" s="50">
        <f t="shared" si="18"/>
        <v>1287886.95</v>
      </c>
      <c r="P109" s="23" t="s">
        <v>117</v>
      </c>
      <c r="S109" s="51">
        <f>N109</f>
        <v>1287886.95</v>
      </c>
    </row>
    <row r="110" spans="1:19" x14ac:dyDescent="0.3">
      <c r="A110">
        <v>167</v>
      </c>
      <c r="B110" t="s">
        <v>89</v>
      </c>
      <c r="C110" s="20">
        <v>330000</v>
      </c>
      <c r="D110" s="33" t="s">
        <v>97</v>
      </c>
      <c r="E110" s="33" t="s">
        <v>97</v>
      </c>
      <c r="F110" s="20">
        <v>50000</v>
      </c>
      <c r="G110" s="20">
        <v>52400</v>
      </c>
      <c r="H110" s="33" t="s">
        <v>97</v>
      </c>
      <c r="I110" s="20">
        <v>46400.6</v>
      </c>
      <c r="J110" s="20">
        <v>460000</v>
      </c>
      <c r="K110" s="33" t="s">
        <v>97</v>
      </c>
      <c r="L110" s="20">
        <v>135000</v>
      </c>
      <c r="M110" s="20">
        <v>1360000</v>
      </c>
      <c r="N110" s="50">
        <f t="shared" si="18"/>
        <v>2433800.6</v>
      </c>
    </row>
    <row r="111" spans="1:19" x14ac:dyDescent="0.3">
      <c r="A111">
        <v>168</v>
      </c>
      <c r="B111" t="s">
        <v>90</v>
      </c>
      <c r="C111" s="20">
        <v>170000</v>
      </c>
      <c r="D111" s="20" t="s">
        <v>104</v>
      </c>
      <c r="E111" s="33" t="s">
        <v>97</v>
      </c>
      <c r="F111" s="33" t="s">
        <v>97</v>
      </c>
      <c r="G111" s="20">
        <v>50000</v>
      </c>
      <c r="H111" s="33" t="s">
        <v>97</v>
      </c>
      <c r="I111" s="20">
        <v>500000</v>
      </c>
      <c r="J111" s="33" t="s">
        <v>97</v>
      </c>
      <c r="K111" s="33" t="s">
        <v>97</v>
      </c>
      <c r="L111" s="20">
        <v>217000</v>
      </c>
      <c r="M111" s="20">
        <v>700</v>
      </c>
      <c r="N111" s="50">
        <f t="shared" si="18"/>
        <v>937700</v>
      </c>
    </row>
    <row r="112" spans="1:19" x14ac:dyDescent="0.3">
      <c r="A112">
        <v>169</v>
      </c>
      <c r="B112" t="s">
        <v>91</v>
      </c>
      <c r="C112" s="33" t="s">
        <v>97</v>
      </c>
      <c r="D112" s="20" t="s">
        <v>104</v>
      </c>
      <c r="E112" s="33" t="s">
        <v>97</v>
      </c>
      <c r="F112" s="20">
        <v>125000</v>
      </c>
      <c r="G112" s="20">
        <v>100000</v>
      </c>
      <c r="H112" s="33" t="s">
        <v>97</v>
      </c>
      <c r="I112" s="20">
        <v>0</v>
      </c>
      <c r="J112" s="33" t="s">
        <v>97</v>
      </c>
      <c r="K112" s="33" t="s">
        <v>97</v>
      </c>
      <c r="L112" s="20">
        <v>165000</v>
      </c>
      <c r="M112" s="20">
        <v>4000000</v>
      </c>
      <c r="N112" s="50">
        <f t="shared" si="18"/>
        <v>4390000</v>
      </c>
      <c r="P112" s="23" t="s">
        <v>114</v>
      </c>
      <c r="S112" s="51">
        <f>N112+N111+N110+N113</f>
        <v>8586500.5999999996</v>
      </c>
    </row>
    <row r="113" spans="1:14" x14ac:dyDescent="0.3">
      <c r="A113">
        <v>170</v>
      </c>
      <c r="B113" t="s">
        <v>92</v>
      </c>
      <c r="C113" s="33" t="s">
        <v>97</v>
      </c>
      <c r="D113" s="20" t="s">
        <v>103</v>
      </c>
      <c r="E113" s="33" t="s">
        <v>97</v>
      </c>
      <c r="F113" s="20">
        <v>125000</v>
      </c>
      <c r="G113" s="20">
        <v>50000</v>
      </c>
      <c r="H113" s="33" t="s">
        <v>97</v>
      </c>
      <c r="I113" s="20">
        <v>500000</v>
      </c>
      <c r="J113" s="33" t="s">
        <v>97</v>
      </c>
      <c r="K113" s="33" t="s">
        <v>97</v>
      </c>
      <c r="L113" s="20">
        <v>150000</v>
      </c>
      <c r="M113" s="33" t="s">
        <v>97</v>
      </c>
      <c r="N113" s="50">
        <f t="shared" si="18"/>
        <v>825000</v>
      </c>
    </row>
    <row r="114" spans="1:14" x14ac:dyDescent="0.3">
      <c r="A114">
        <v>171</v>
      </c>
      <c r="B114" t="s">
        <v>93</v>
      </c>
      <c r="C114" s="33" t="s">
        <v>97</v>
      </c>
      <c r="D114" s="20" t="s">
        <v>103</v>
      </c>
      <c r="E114" s="33" t="s">
        <v>97</v>
      </c>
      <c r="F114" s="33" t="s">
        <v>97</v>
      </c>
      <c r="G114" s="33" t="s">
        <v>97</v>
      </c>
      <c r="H114" s="33" t="s">
        <v>97</v>
      </c>
      <c r="I114" s="33" t="s">
        <v>97</v>
      </c>
      <c r="J114" s="33" t="s">
        <v>97</v>
      </c>
      <c r="K114" s="33" t="s">
        <v>97</v>
      </c>
      <c r="L114" s="20">
        <v>126000</v>
      </c>
      <c r="M114" s="33" t="s">
        <v>97</v>
      </c>
      <c r="N114" s="50">
        <f t="shared" si="18"/>
        <v>126000</v>
      </c>
    </row>
    <row r="115" spans="1:14" x14ac:dyDescent="0.3">
      <c r="A115">
        <v>172</v>
      </c>
      <c r="B115" t="s">
        <v>94</v>
      </c>
      <c r="C115" s="33" t="s">
        <v>97</v>
      </c>
      <c r="D115" s="20"/>
      <c r="E115" s="33" t="s">
        <v>97</v>
      </c>
      <c r="F115" s="33" t="s">
        <v>97</v>
      </c>
      <c r="G115" s="33" t="s">
        <v>97</v>
      </c>
      <c r="H115" s="33" t="s">
        <v>97</v>
      </c>
      <c r="I115" s="33" t="s">
        <v>97</v>
      </c>
      <c r="J115" s="20"/>
      <c r="K115" s="33" t="s">
        <v>97</v>
      </c>
      <c r="L115" s="33" t="s">
        <v>97</v>
      </c>
      <c r="M115" s="33" t="s">
        <v>97</v>
      </c>
      <c r="N115" s="50">
        <f t="shared" si="18"/>
        <v>0</v>
      </c>
    </row>
    <row r="116" spans="1:14" x14ac:dyDescent="0.3">
      <c r="A116">
        <v>173</v>
      </c>
      <c r="B116" t="s">
        <v>95</v>
      </c>
      <c r="C116" s="33" t="s">
        <v>97</v>
      </c>
      <c r="D116" s="20"/>
      <c r="E116" s="33" t="s">
        <v>97</v>
      </c>
      <c r="F116" s="33" t="s">
        <v>97</v>
      </c>
      <c r="G116" s="33" t="s">
        <v>97</v>
      </c>
      <c r="H116" s="33" t="s">
        <v>97</v>
      </c>
      <c r="I116" s="33" t="s">
        <v>97</v>
      </c>
      <c r="J116" s="20"/>
      <c r="K116" s="33" t="s">
        <v>97</v>
      </c>
      <c r="L116" s="33" t="s">
        <v>97</v>
      </c>
      <c r="M116" s="33" t="s">
        <v>97</v>
      </c>
      <c r="N116" s="50">
        <f t="shared" si="18"/>
        <v>0</v>
      </c>
    </row>
    <row r="117" spans="1:14" x14ac:dyDescent="0.3">
      <c r="A117">
        <v>174</v>
      </c>
      <c r="B117" t="s">
        <v>146</v>
      </c>
      <c r="C117" s="112">
        <f>(C101/C99)/C15</f>
        <v>20.961712381745702</v>
      </c>
      <c r="D117" s="112">
        <f t="shared" ref="D117:M117" si="19">(D101/D99)/D15</f>
        <v>37.942601085034319</v>
      </c>
      <c r="E117" s="112">
        <f t="shared" si="19"/>
        <v>19.404985307006235</v>
      </c>
      <c r="F117" s="112">
        <f t="shared" si="19"/>
        <v>13.131027489860299</v>
      </c>
      <c r="G117" s="112">
        <f t="shared" si="19"/>
        <v>26.268369747899161</v>
      </c>
      <c r="H117" s="112">
        <f t="shared" si="19"/>
        <v>24.784839054750559</v>
      </c>
      <c r="I117" s="112">
        <f t="shared" si="19"/>
        <v>33.010501443948542</v>
      </c>
      <c r="J117" s="112">
        <f t="shared" si="19"/>
        <v>22.124562032170726</v>
      </c>
      <c r="K117" s="112">
        <f t="shared" si="19"/>
        <v>26.520288671023962</v>
      </c>
      <c r="L117" s="112">
        <f t="shared" si="19"/>
        <v>20.299139471456787</v>
      </c>
      <c r="M117" s="112">
        <f t="shared" si="19"/>
        <v>26.788089275777089</v>
      </c>
      <c r="N117" s="50"/>
    </row>
    <row r="118" spans="1:14" x14ac:dyDescent="0.3">
      <c r="A118">
        <v>175</v>
      </c>
      <c r="B118" t="s">
        <v>173</v>
      </c>
      <c r="C118" s="112">
        <f>C117*C15</f>
        <v>50329.071428571428</v>
      </c>
      <c r="D118" s="112">
        <f t="shared" ref="D118:M118" si="20">D117*D15</f>
        <v>115079.90909090909</v>
      </c>
      <c r="E118" s="112">
        <f t="shared" si="20"/>
        <v>53771.214285714275</v>
      </c>
      <c r="F118" s="112">
        <f t="shared" si="20"/>
        <v>16650.142857142859</v>
      </c>
      <c r="G118" s="112">
        <f t="shared" si="20"/>
        <v>111640.57142857143</v>
      </c>
      <c r="H118" s="112">
        <f t="shared" si="20"/>
        <v>39209.615384615383</v>
      </c>
      <c r="I118" s="112">
        <f t="shared" si="20"/>
        <v>145081.15384615384</v>
      </c>
      <c r="J118" s="112">
        <f t="shared" si="20"/>
        <v>79382.928571428565</v>
      </c>
      <c r="K118" s="112">
        <f t="shared" si="20"/>
        <v>16230.416666666664</v>
      </c>
      <c r="L118" s="112">
        <f t="shared" si="20"/>
        <v>61668.785714285717</v>
      </c>
      <c r="M118" s="112">
        <f t="shared" si="20"/>
        <v>192552.78571428571</v>
      </c>
      <c r="N118" s="50"/>
    </row>
    <row r="119" spans="1:14" x14ac:dyDescent="0.3">
      <c r="A119">
        <v>176</v>
      </c>
      <c r="C119" s="112"/>
      <c r="D119" s="112"/>
      <c r="E119" s="112"/>
      <c r="F119" s="112"/>
      <c r="G119" s="112"/>
      <c r="H119" s="112"/>
      <c r="I119" s="112"/>
      <c r="J119" s="112"/>
      <c r="K119" s="112"/>
      <c r="L119" s="112"/>
      <c r="M119" s="112"/>
      <c r="N119" s="50"/>
    </row>
    <row r="120" spans="1:14" x14ac:dyDescent="0.3">
      <c r="A120">
        <v>177</v>
      </c>
      <c r="C120" s="112"/>
      <c r="D120" s="112"/>
      <c r="E120" s="112"/>
      <c r="F120" s="112"/>
      <c r="G120" s="112"/>
      <c r="H120" s="112"/>
      <c r="I120" s="112"/>
      <c r="J120" s="112"/>
      <c r="K120" s="112"/>
      <c r="L120" s="112"/>
      <c r="M120" s="112"/>
      <c r="N120" s="50"/>
    </row>
    <row r="121" spans="1:14" x14ac:dyDescent="0.3">
      <c r="A121">
        <v>178</v>
      </c>
      <c r="C121" s="20"/>
      <c r="D121" s="20"/>
      <c r="E121" s="20"/>
      <c r="F121" s="20"/>
      <c r="G121" s="20"/>
      <c r="H121" s="20"/>
      <c r="I121" s="20"/>
      <c r="J121" s="20"/>
      <c r="K121" s="20"/>
      <c r="L121" s="20"/>
      <c r="M121" s="20"/>
      <c r="N121" s="50"/>
    </row>
    <row r="122" spans="1:14" s="12" customFormat="1" x14ac:dyDescent="0.3">
      <c r="A122" s="12">
        <v>200</v>
      </c>
      <c r="B122" s="12" t="s">
        <v>221</v>
      </c>
      <c r="C122" s="13"/>
      <c r="D122" s="13"/>
      <c r="E122" s="13"/>
      <c r="F122" s="13"/>
      <c r="G122" s="13"/>
      <c r="H122" s="13"/>
      <c r="I122" s="13"/>
      <c r="J122" s="13"/>
      <c r="K122" s="13"/>
      <c r="L122" s="13"/>
      <c r="M122" s="13"/>
      <c r="N122" s="13"/>
    </row>
    <row r="123" spans="1:14" x14ac:dyDescent="0.3">
      <c r="A123">
        <v>201</v>
      </c>
      <c r="B123" s="14">
        <v>40330</v>
      </c>
      <c r="C123" s="7">
        <v>43</v>
      </c>
      <c r="D123" s="7">
        <v>45</v>
      </c>
      <c r="E123" s="7">
        <v>27</v>
      </c>
      <c r="F123" s="7">
        <v>29</v>
      </c>
      <c r="I123" s="7">
        <v>45</v>
      </c>
    </row>
    <row r="124" spans="1:14" x14ac:dyDescent="0.3">
      <c r="A124">
        <v>202</v>
      </c>
      <c r="B124" s="14">
        <v>40513</v>
      </c>
      <c r="C124" s="7">
        <v>48</v>
      </c>
      <c r="D124" s="7">
        <v>42</v>
      </c>
      <c r="E124" s="7">
        <v>40</v>
      </c>
      <c r="F124" s="7">
        <v>22</v>
      </c>
      <c r="I124" s="7">
        <v>45</v>
      </c>
    </row>
    <row r="125" spans="1:14" x14ac:dyDescent="0.3">
      <c r="A125">
        <v>203</v>
      </c>
      <c r="B125" s="14">
        <v>40695</v>
      </c>
      <c r="C125" s="7">
        <v>38</v>
      </c>
      <c r="D125" s="7">
        <v>34</v>
      </c>
      <c r="E125" s="7">
        <v>25</v>
      </c>
      <c r="F125" s="7">
        <v>26</v>
      </c>
      <c r="H125" s="7">
        <v>35</v>
      </c>
      <c r="I125" s="7">
        <v>49</v>
      </c>
      <c r="J125" s="7">
        <v>43</v>
      </c>
      <c r="L125" s="7">
        <v>36</v>
      </c>
      <c r="M125" s="7">
        <v>108</v>
      </c>
    </row>
    <row r="126" spans="1:14" x14ac:dyDescent="0.3">
      <c r="A126">
        <v>204</v>
      </c>
      <c r="B126" s="14">
        <v>40878</v>
      </c>
      <c r="C126" s="7">
        <v>47</v>
      </c>
      <c r="D126" s="7">
        <v>40</v>
      </c>
      <c r="E126" s="7">
        <v>34</v>
      </c>
      <c r="F126" s="7">
        <v>35</v>
      </c>
      <c r="H126" s="7">
        <v>36</v>
      </c>
      <c r="I126" s="7">
        <v>52</v>
      </c>
      <c r="J126" s="7">
        <v>36</v>
      </c>
      <c r="L126" s="7">
        <v>42</v>
      </c>
      <c r="M126" s="7">
        <v>36</v>
      </c>
    </row>
    <row r="127" spans="1:14" x14ac:dyDescent="0.3">
      <c r="A127">
        <v>205</v>
      </c>
      <c r="B127" s="14">
        <v>41061</v>
      </c>
      <c r="C127" s="7">
        <v>38</v>
      </c>
      <c r="D127" s="7">
        <v>27</v>
      </c>
      <c r="E127" s="7">
        <v>34</v>
      </c>
      <c r="F127" s="7">
        <v>32</v>
      </c>
      <c r="H127" s="7">
        <v>32</v>
      </c>
      <c r="I127" s="7">
        <v>57</v>
      </c>
      <c r="J127" s="7">
        <v>44</v>
      </c>
      <c r="L127" s="7">
        <v>37</v>
      </c>
      <c r="M127" s="7">
        <v>28</v>
      </c>
    </row>
    <row r="128" spans="1:14" x14ac:dyDescent="0.3">
      <c r="A128">
        <v>206</v>
      </c>
      <c r="B128" s="14">
        <v>41244</v>
      </c>
      <c r="C128" s="7">
        <v>38</v>
      </c>
      <c r="D128" s="7">
        <v>44</v>
      </c>
      <c r="E128" s="7">
        <v>27</v>
      </c>
      <c r="F128" s="7">
        <v>25</v>
      </c>
      <c r="H128" s="7">
        <v>40</v>
      </c>
      <c r="I128" s="7">
        <v>52</v>
      </c>
      <c r="J128" s="7">
        <v>46</v>
      </c>
      <c r="L128" s="7">
        <v>30</v>
      </c>
      <c r="M128" s="7">
        <v>48</v>
      </c>
    </row>
    <row r="129" spans="1:14" x14ac:dyDescent="0.3">
      <c r="A129">
        <v>207</v>
      </c>
      <c r="B129" s="14">
        <v>41426</v>
      </c>
      <c r="C129" s="7">
        <v>43</v>
      </c>
      <c r="D129" s="7">
        <v>46</v>
      </c>
      <c r="E129" s="7">
        <v>27</v>
      </c>
      <c r="F129" s="7">
        <v>18</v>
      </c>
      <c r="H129" s="7">
        <v>28</v>
      </c>
      <c r="I129" s="7">
        <v>85</v>
      </c>
      <c r="J129" s="7">
        <v>52</v>
      </c>
      <c r="L129" s="7">
        <v>46</v>
      </c>
      <c r="M129" s="7">
        <v>53</v>
      </c>
    </row>
    <row r="130" spans="1:14" x14ac:dyDescent="0.3">
      <c r="A130">
        <v>208</v>
      </c>
      <c r="B130" s="14">
        <v>41609</v>
      </c>
      <c r="C130" s="7">
        <v>42</v>
      </c>
      <c r="D130" s="7">
        <v>50</v>
      </c>
      <c r="E130" s="7">
        <v>29</v>
      </c>
      <c r="F130" s="7">
        <v>86</v>
      </c>
      <c r="H130" s="7">
        <v>29</v>
      </c>
      <c r="I130" s="7">
        <v>68</v>
      </c>
      <c r="J130" s="7">
        <v>46</v>
      </c>
      <c r="L130" s="7">
        <v>47</v>
      </c>
      <c r="M130" s="7">
        <v>34</v>
      </c>
    </row>
    <row r="131" spans="1:14" x14ac:dyDescent="0.3">
      <c r="A131">
        <v>209</v>
      </c>
      <c r="B131" s="14">
        <v>41791</v>
      </c>
      <c r="C131" s="7">
        <v>29</v>
      </c>
      <c r="D131" s="7">
        <v>53</v>
      </c>
      <c r="E131" s="7">
        <v>38</v>
      </c>
      <c r="F131" s="7">
        <v>22</v>
      </c>
      <c r="H131" s="7">
        <v>34</v>
      </c>
      <c r="I131" s="7">
        <v>62</v>
      </c>
      <c r="J131" s="7">
        <v>67</v>
      </c>
      <c r="L131" s="7">
        <v>27</v>
      </c>
      <c r="M131" s="7">
        <v>56</v>
      </c>
    </row>
    <row r="132" spans="1:14" x14ac:dyDescent="0.3">
      <c r="A132">
        <v>210</v>
      </c>
      <c r="B132" s="14">
        <v>41974</v>
      </c>
      <c r="C132" s="7">
        <v>56</v>
      </c>
      <c r="D132" s="7">
        <v>50</v>
      </c>
      <c r="E132" s="7">
        <v>33</v>
      </c>
      <c r="F132" s="7">
        <v>65</v>
      </c>
      <c r="H132" s="7">
        <v>34</v>
      </c>
      <c r="I132" s="7">
        <v>76</v>
      </c>
      <c r="J132" s="7">
        <v>56</v>
      </c>
      <c r="L132" s="7">
        <v>41</v>
      </c>
      <c r="M132" s="7">
        <v>54</v>
      </c>
    </row>
    <row r="133" spans="1:14" x14ac:dyDescent="0.3">
      <c r="A133">
        <v>211</v>
      </c>
      <c r="B133" s="14">
        <v>42156</v>
      </c>
      <c r="C133" s="7">
        <v>35</v>
      </c>
      <c r="D133" s="7">
        <v>45</v>
      </c>
      <c r="E133" s="7">
        <v>18</v>
      </c>
      <c r="F133" s="7">
        <v>37</v>
      </c>
      <c r="H133" s="7">
        <v>30</v>
      </c>
      <c r="I133" s="7">
        <v>36</v>
      </c>
      <c r="J133" s="7">
        <v>59</v>
      </c>
      <c r="L133" s="7">
        <v>42</v>
      </c>
      <c r="M133" s="7">
        <v>37</v>
      </c>
    </row>
    <row r="134" spans="1:14" x14ac:dyDescent="0.3">
      <c r="A134">
        <v>212</v>
      </c>
      <c r="B134" s="14">
        <v>42339</v>
      </c>
      <c r="C134" s="7">
        <v>83</v>
      </c>
      <c r="D134" s="7">
        <v>43</v>
      </c>
      <c r="E134" s="7">
        <v>25</v>
      </c>
      <c r="F134" s="7">
        <v>78</v>
      </c>
      <c r="H134" s="7">
        <v>34</v>
      </c>
      <c r="I134" s="7">
        <v>57</v>
      </c>
      <c r="J134" s="7">
        <v>55</v>
      </c>
      <c r="L134" s="7">
        <v>78</v>
      </c>
      <c r="M134" s="7">
        <v>60</v>
      </c>
    </row>
    <row r="135" spans="1:14" x14ac:dyDescent="0.3">
      <c r="A135">
        <v>213</v>
      </c>
      <c r="B135" s="15" t="s">
        <v>63</v>
      </c>
      <c r="C135" s="18">
        <f>AVERAGE(C123:C134)/((C15-(C15*C26/100)))</f>
        <v>1.8761688870886657E-2</v>
      </c>
      <c r="D135" s="18">
        <f>AVERAGE(D123:D134)/((D15-(D15*D26/100)))</f>
        <v>1.4273880568401637E-2</v>
      </c>
      <c r="E135" s="18">
        <f>AVERAGE(E123:E134)/((E15-(E15*E26/100)))</f>
        <v>1.0745323715674375E-2</v>
      </c>
      <c r="F135" s="18">
        <f>AVERAGE(F123:F134)/((F15-(F15*F26/100)))</f>
        <v>3.1256971672512714E-2</v>
      </c>
      <c r="G135" s="18"/>
      <c r="H135" s="18">
        <f>AVERAGE(H123:H134)/((H15-(H15*H26/100)))</f>
        <v>2.1006930164285152E-2</v>
      </c>
      <c r="I135" s="18">
        <f>AVERAGE(I123:I134)/((I15-(I15*I26/100)))</f>
        <v>1.2979788936605308E-2</v>
      </c>
      <c r="J135" s="18">
        <f>AVERAGE(J123:J134)/((J15-(J15*J26/100)))</f>
        <v>1.4055075959864731E-2</v>
      </c>
      <c r="K135" s="18"/>
      <c r="L135" s="18">
        <f>AVERAGE(L123:L134)/((L15-(L15*L26/100)))</f>
        <v>1.4031638305247745E-2</v>
      </c>
      <c r="M135" s="18">
        <f>AVERAGE(M123:M134)/((M15-(M15*M26/100)))</f>
        <v>7.1550361809260797E-3</v>
      </c>
      <c r="N135" s="48">
        <f>AVERAGE(C135:M135)</f>
        <v>1.6029592708267155E-2</v>
      </c>
    </row>
    <row r="136" spans="1:14" x14ac:dyDescent="0.3">
      <c r="A136">
        <v>214</v>
      </c>
      <c r="B136" s="15"/>
    </row>
    <row r="137" spans="1:14" x14ac:dyDescent="0.3">
      <c r="A137">
        <v>215</v>
      </c>
      <c r="B137" s="15"/>
    </row>
    <row r="138" spans="1:14" x14ac:dyDescent="0.3">
      <c r="A138">
        <v>216</v>
      </c>
      <c r="B138" s="15"/>
    </row>
    <row r="139" spans="1:14" x14ac:dyDescent="0.3">
      <c r="A139">
        <v>217</v>
      </c>
      <c r="B139" s="15"/>
    </row>
    <row r="140" spans="1:14" x14ac:dyDescent="0.3">
      <c r="A140">
        <v>218</v>
      </c>
      <c r="B140" s="15"/>
    </row>
    <row r="141" spans="1:14" x14ac:dyDescent="0.3">
      <c r="A141">
        <v>219</v>
      </c>
      <c r="B141" s="15"/>
    </row>
    <row r="142" spans="1:14" x14ac:dyDescent="0.3">
      <c r="A142">
        <v>220</v>
      </c>
      <c r="B142" s="16" t="s">
        <v>48</v>
      </c>
      <c r="C142" s="7">
        <v>1</v>
      </c>
      <c r="D142" s="7">
        <v>0</v>
      </c>
      <c r="E142" s="7">
        <v>2</v>
      </c>
      <c r="F142" s="7">
        <v>1</v>
      </c>
      <c r="H142" s="7">
        <v>0</v>
      </c>
      <c r="J142" s="7">
        <v>0</v>
      </c>
      <c r="L142" s="7">
        <v>0</v>
      </c>
      <c r="M142" s="7">
        <v>0</v>
      </c>
    </row>
    <row r="143" spans="1:14" x14ac:dyDescent="0.3">
      <c r="A143">
        <v>221</v>
      </c>
      <c r="B143" s="16" t="s">
        <v>49</v>
      </c>
      <c r="C143" s="7">
        <v>1</v>
      </c>
      <c r="D143" s="7">
        <v>1</v>
      </c>
      <c r="E143" s="7">
        <v>0</v>
      </c>
      <c r="F143" s="7">
        <v>0</v>
      </c>
      <c r="H143" s="7">
        <v>0</v>
      </c>
      <c r="J143" s="7">
        <v>0</v>
      </c>
      <c r="L143" s="7">
        <v>0</v>
      </c>
      <c r="M143" s="7">
        <v>0</v>
      </c>
    </row>
    <row r="144" spans="1:14" x14ac:dyDescent="0.3">
      <c r="A144">
        <v>222</v>
      </c>
      <c r="B144" s="16" t="s">
        <v>50</v>
      </c>
      <c r="C144" s="7">
        <v>1</v>
      </c>
      <c r="D144" s="7">
        <v>1</v>
      </c>
      <c r="E144" s="7">
        <v>0</v>
      </c>
      <c r="F144" s="7">
        <v>0</v>
      </c>
      <c r="H144" s="7">
        <v>0</v>
      </c>
      <c r="J144" s="7">
        <v>0</v>
      </c>
      <c r="L144" s="7">
        <v>0</v>
      </c>
      <c r="M144" s="7">
        <v>1</v>
      </c>
    </row>
    <row r="145" spans="1:14" x14ac:dyDescent="0.3">
      <c r="A145">
        <v>223</v>
      </c>
      <c r="B145" s="16" t="s">
        <v>51</v>
      </c>
      <c r="C145" s="7">
        <v>1</v>
      </c>
      <c r="D145" s="7">
        <v>0</v>
      </c>
      <c r="E145" s="7">
        <v>3</v>
      </c>
      <c r="F145" s="7">
        <v>0</v>
      </c>
      <c r="H145" s="7">
        <v>0</v>
      </c>
      <c r="J145" s="7">
        <v>1</v>
      </c>
      <c r="L145" s="7">
        <v>1</v>
      </c>
      <c r="M145" s="7">
        <v>1</v>
      </c>
    </row>
    <row r="146" spans="1:14" x14ac:dyDescent="0.3">
      <c r="A146">
        <v>224</v>
      </c>
      <c r="B146" s="16" t="s">
        <v>52</v>
      </c>
      <c r="C146" s="7">
        <v>1</v>
      </c>
      <c r="D146" s="7">
        <v>0</v>
      </c>
      <c r="E146" s="7">
        <v>2</v>
      </c>
      <c r="F146" s="7">
        <v>0</v>
      </c>
      <c r="H146" s="7">
        <v>0</v>
      </c>
      <c r="J146" s="7">
        <v>0</v>
      </c>
      <c r="L146" s="7">
        <v>0</v>
      </c>
      <c r="M146" s="7">
        <v>1</v>
      </c>
    </row>
    <row r="147" spans="1:14" x14ac:dyDescent="0.3">
      <c r="A147">
        <v>225</v>
      </c>
      <c r="B147" s="16" t="s">
        <v>59</v>
      </c>
      <c r="C147" s="7">
        <v>1</v>
      </c>
      <c r="D147" s="7">
        <v>0</v>
      </c>
      <c r="E147" s="7">
        <v>0</v>
      </c>
      <c r="F147" s="7">
        <v>0</v>
      </c>
      <c r="H147" s="7">
        <v>0</v>
      </c>
      <c r="J147" s="7">
        <v>2</v>
      </c>
      <c r="L147" s="7">
        <v>0</v>
      </c>
      <c r="M147" s="7">
        <v>2</v>
      </c>
    </row>
    <row r="148" spans="1:14" x14ac:dyDescent="0.3">
      <c r="A148">
        <v>226</v>
      </c>
      <c r="B148" s="16" t="s">
        <v>53</v>
      </c>
      <c r="C148" s="7">
        <v>1</v>
      </c>
      <c r="D148" s="7">
        <v>0</v>
      </c>
      <c r="E148" s="7">
        <v>1</v>
      </c>
      <c r="F148" s="7">
        <v>0</v>
      </c>
      <c r="H148" s="7">
        <v>1</v>
      </c>
      <c r="J148" s="7">
        <v>2</v>
      </c>
      <c r="L148" s="7">
        <v>0</v>
      </c>
      <c r="M148" s="7">
        <v>0</v>
      </c>
    </row>
    <row r="149" spans="1:14" x14ac:dyDescent="0.3">
      <c r="A149">
        <v>227</v>
      </c>
      <c r="B149" s="16" t="s">
        <v>58</v>
      </c>
      <c r="C149" s="7">
        <v>1</v>
      </c>
      <c r="D149" s="7">
        <v>0</v>
      </c>
      <c r="E149" s="7">
        <v>1</v>
      </c>
      <c r="F149" s="7">
        <v>0</v>
      </c>
      <c r="H149" s="7">
        <v>2</v>
      </c>
      <c r="J149" s="7">
        <v>1</v>
      </c>
      <c r="L149" s="7">
        <v>0</v>
      </c>
      <c r="M149" s="7">
        <v>0</v>
      </c>
    </row>
    <row r="150" spans="1:14" x14ac:dyDescent="0.3">
      <c r="A150">
        <v>228</v>
      </c>
      <c r="B150" s="16" t="s">
        <v>54</v>
      </c>
      <c r="C150" s="7">
        <v>1</v>
      </c>
      <c r="D150" s="7">
        <v>1</v>
      </c>
      <c r="E150" s="7">
        <v>1</v>
      </c>
      <c r="F150" s="7">
        <v>1</v>
      </c>
      <c r="H150" s="7">
        <v>1</v>
      </c>
      <c r="J150" s="7">
        <v>4</v>
      </c>
      <c r="L150" s="7">
        <v>1</v>
      </c>
      <c r="M150" s="7">
        <v>3</v>
      </c>
    </row>
    <row r="151" spans="1:14" x14ac:dyDescent="0.3">
      <c r="A151">
        <v>229</v>
      </c>
      <c r="B151" s="16" t="s">
        <v>57</v>
      </c>
      <c r="C151" s="7">
        <v>0</v>
      </c>
      <c r="D151" s="7">
        <v>1</v>
      </c>
      <c r="E151" s="7">
        <v>0</v>
      </c>
      <c r="F151" s="7">
        <v>0</v>
      </c>
      <c r="H151" s="7">
        <v>0</v>
      </c>
      <c r="J151" s="7">
        <v>2</v>
      </c>
      <c r="L151" s="7">
        <v>1</v>
      </c>
      <c r="M151" s="7">
        <v>1</v>
      </c>
    </row>
    <row r="152" spans="1:14" x14ac:dyDescent="0.3">
      <c r="A152">
        <v>230</v>
      </c>
      <c r="B152" s="16" t="s">
        <v>55</v>
      </c>
      <c r="C152" s="7">
        <v>0</v>
      </c>
      <c r="D152" s="7">
        <v>0</v>
      </c>
      <c r="E152" s="7">
        <v>0</v>
      </c>
      <c r="F152" s="7">
        <v>1</v>
      </c>
      <c r="H152" s="7">
        <v>1</v>
      </c>
      <c r="J152" s="7">
        <v>1</v>
      </c>
      <c r="L152" s="7">
        <v>1</v>
      </c>
      <c r="M152" s="7">
        <v>0</v>
      </c>
    </row>
    <row r="153" spans="1:14" x14ac:dyDescent="0.3">
      <c r="A153">
        <v>231</v>
      </c>
      <c r="B153" s="16" t="s">
        <v>56</v>
      </c>
      <c r="C153" s="7">
        <v>1</v>
      </c>
      <c r="D153" s="7">
        <v>0</v>
      </c>
      <c r="E153" s="7">
        <v>1</v>
      </c>
      <c r="F153" s="7">
        <v>0</v>
      </c>
      <c r="H153" s="7">
        <v>0</v>
      </c>
      <c r="J153" s="7">
        <v>2</v>
      </c>
      <c r="L153" s="7">
        <v>1</v>
      </c>
      <c r="M153" s="7">
        <v>4</v>
      </c>
    </row>
    <row r="154" spans="1:14" x14ac:dyDescent="0.3">
      <c r="A154">
        <v>232</v>
      </c>
      <c r="B154" s="15" t="s">
        <v>209</v>
      </c>
      <c r="C154" s="19">
        <f>AVERAGE(C142:C153)</f>
        <v>0.83333333333333337</v>
      </c>
      <c r="D154" s="19">
        <f t="shared" ref="D154:M154" si="21">AVERAGE(D142:D153)</f>
        <v>0.33333333333333331</v>
      </c>
      <c r="E154" s="19">
        <f t="shared" si="21"/>
        <v>0.91666666666666663</v>
      </c>
      <c r="F154" s="19">
        <f t="shared" si="21"/>
        <v>0.25</v>
      </c>
      <c r="G154" s="19"/>
      <c r="H154" s="19">
        <f t="shared" si="21"/>
        <v>0.41666666666666669</v>
      </c>
      <c r="I154" s="19"/>
      <c r="J154" s="19">
        <f t="shared" si="21"/>
        <v>1.25</v>
      </c>
      <c r="K154" s="19"/>
      <c r="L154" s="19">
        <f t="shared" si="21"/>
        <v>0.41666666666666669</v>
      </c>
      <c r="M154" s="19">
        <f t="shared" si="21"/>
        <v>1.0833333333333333</v>
      </c>
      <c r="N154" s="49">
        <f>AVERAGE(C154:M154)</f>
        <v>0.6875</v>
      </c>
    </row>
    <row r="155" spans="1:14" x14ac:dyDescent="0.3">
      <c r="A155">
        <v>233</v>
      </c>
    </row>
    <row r="156" spans="1:14" x14ac:dyDescent="0.3">
      <c r="A156">
        <v>234</v>
      </c>
    </row>
    <row r="157" spans="1:14" x14ac:dyDescent="0.3">
      <c r="A157">
        <v>235</v>
      </c>
    </row>
    <row r="158" spans="1:14" x14ac:dyDescent="0.3">
      <c r="A158">
        <v>236</v>
      </c>
    </row>
    <row r="159" spans="1:14" x14ac:dyDescent="0.3">
      <c r="A159">
        <v>237</v>
      </c>
    </row>
    <row r="160" spans="1:14" x14ac:dyDescent="0.3">
      <c r="A160">
        <v>238</v>
      </c>
    </row>
    <row r="161" spans="1:15" x14ac:dyDescent="0.3">
      <c r="A161">
        <v>239</v>
      </c>
    </row>
    <row r="162" spans="1:15" s="25" customFormat="1" x14ac:dyDescent="0.3">
      <c r="A162" s="25">
        <v>240</v>
      </c>
      <c r="B162" s="25" t="s">
        <v>79</v>
      </c>
      <c r="C162" s="26"/>
      <c r="D162" s="26"/>
      <c r="E162" s="26"/>
      <c r="F162" s="26"/>
      <c r="G162" s="26"/>
      <c r="H162" s="26"/>
      <c r="I162" s="26"/>
      <c r="J162" s="26"/>
      <c r="K162" s="26"/>
      <c r="L162" s="26"/>
      <c r="M162" s="26"/>
      <c r="N162" s="11"/>
    </row>
    <row r="163" spans="1:15" x14ac:dyDescent="0.3">
      <c r="A163">
        <v>241</v>
      </c>
      <c r="B163" t="s">
        <v>80</v>
      </c>
      <c r="C163" s="7">
        <v>7</v>
      </c>
      <c r="D163" s="7">
        <v>7</v>
      </c>
      <c r="E163" s="7">
        <v>7</v>
      </c>
      <c r="F163" s="7">
        <v>7</v>
      </c>
      <c r="G163" s="7">
        <v>9</v>
      </c>
      <c r="H163" s="7">
        <v>5</v>
      </c>
      <c r="I163" s="7">
        <v>9</v>
      </c>
      <c r="J163" s="7">
        <v>7</v>
      </c>
      <c r="K163" s="7">
        <v>5</v>
      </c>
      <c r="L163" s="7">
        <v>7</v>
      </c>
      <c r="M163" s="7">
        <v>9</v>
      </c>
    </row>
    <row r="164" spans="1:15" x14ac:dyDescent="0.3">
      <c r="A164">
        <v>242</v>
      </c>
      <c r="B164" t="s">
        <v>102</v>
      </c>
      <c r="C164" s="7">
        <v>12</v>
      </c>
      <c r="D164" s="7">
        <v>12</v>
      </c>
      <c r="E164" s="7">
        <v>12</v>
      </c>
      <c r="F164" s="7">
        <v>14</v>
      </c>
      <c r="G164" s="7">
        <v>12</v>
      </c>
      <c r="H164" s="7">
        <v>12</v>
      </c>
      <c r="I164" s="7">
        <v>12</v>
      </c>
      <c r="J164" s="7">
        <v>15</v>
      </c>
      <c r="K164" s="7">
        <v>10</v>
      </c>
      <c r="L164" s="7">
        <v>13</v>
      </c>
      <c r="M164" s="7">
        <v>12</v>
      </c>
    </row>
    <row r="165" spans="1:15" x14ac:dyDescent="0.3">
      <c r="A165">
        <v>243</v>
      </c>
      <c r="B165" t="s">
        <v>101</v>
      </c>
      <c r="C165" s="7">
        <v>36900</v>
      </c>
      <c r="D165" s="7">
        <v>26200</v>
      </c>
      <c r="E165" s="7">
        <v>38430</v>
      </c>
      <c r="F165" s="7">
        <v>35800</v>
      </c>
      <c r="G165" s="7">
        <v>30500</v>
      </c>
      <c r="H165" s="7">
        <v>46000</v>
      </c>
      <c r="I165" s="7">
        <v>62450</v>
      </c>
      <c r="J165" s="7">
        <v>38600</v>
      </c>
      <c r="K165" s="7">
        <v>18190</v>
      </c>
      <c r="L165" s="7">
        <v>45000</v>
      </c>
      <c r="M165" s="7">
        <v>64500</v>
      </c>
      <c r="N165" s="46">
        <f>SUM(C165:M165)</f>
        <v>442570</v>
      </c>
    </row>
    <row r="166" spans="1:15" x14ac:dyDescent="0.3">
      <c r="A166">
        <v>244</v>
      </c>
      <c r="B166" t="s">
        <v>81</v>
      </c>
      <c r="C166" s="7">
        <v>5</v>
      </c>
      <c r="D166" s="7">
        <v>5</v>
      </c>
      <c r="E166" s="7">
        <v>5</v>
      </c>
      <c r="F166" s="7">
        <v>5</v>
      </c>
      <c r="G166" s="7">
        <v>5</v>
      </c>
      <c r="H166" s="7">
        <v>5</v>
      </c>
      <c r="I166" s="7">
        <v>5</v>
      </c>
      <c r="J166" s="7">
        <v>5</v>
      </c>
      <c r="K166" s="7">
        <v>5</v>
      </c>
      <c r="L166" s="7">
        <v>5</v>
      </c>
      <c r="M166" s="7">
        <v>5</v>
      </c>
    </row>
    <row r="167" spans="1:15" x14ac:dyDescent="0.3">
      <c r="A167">
        <v>245</v>
      </c>
      <c r="B167" t="s">
        <v>100</v>
      </c>
      <c r="C167" s="7">
        <v>3</v>
      </c>
      <c r="D167" s="7">
        <v>2</v>
      </c>
      <c r="E167" s="7">
        <v>2</v>
      </c>
      <c r="F167" s="7">
        <v>3</v>
      </c>
      <c r="G167" s="7">
        <v>2</v>
      </c>
      <c r="H167" s="7">
        <v>2</v>
      </c>
      <c r="I167" s="7">
        <v>3</v>
      </c>
      <c r="J167" s="7">
        <v>3</v>
      </c>
      <c r="K167" s="7">
        <v>4</v>
      </c>
      <c r="L167" s="7">
        <v>2</v>
      </c>
      <c r="M167" s="7">
        <v>4</v>
      </c>
    </row>
    <row r="168" spans="1:15" x14ac:dyDescent="0.3">
      <c r="A168">
        <v>246</v>
      </c>
      <c r="B168" t="s">
        <v>99</v>
      </c>
      <c r="C168" s="7">
        <v>1880</v>
      </c>
      <c r="D168" s="7">
        <v>2000</v>
      </c>
      <c r="E168" s="7">
        <v>630</v>
      </c>
      <c r="F168" s="7">
        <v>0</v>
      </c>
      <c r="G168" s="7">
        <v>2550</v>
      </c>
      <c r="H168" s="7">
        <v>3000</v>
      </c>
      <c r="I168" s="7">
        <v>2240</v>
      </c>
      <c r="J168" s="7">
        <v>1400</v>
      </c>
      <c r="K168" s="7">
        <v>1516</v>
      </c>
      <c r="L168" s="7">
        <v>1320</v>
      </c>
      <c r="M168" s="7">
        <v>4000</v>
      </c>
      <c r="N168" s="46">
        <f>SUM(C168:M168)</f>
        <v>20536</v>
      </c>
    </row>
    <row r="169" spans="1:15" x14ac:dyDescent="0.3">
      <c r="A169">
        <v>247</v>
      </c>
      <c r="B169" t="s">
        <v>168</v>
      </c>
      <c r="N169" s="46">
        <f>SUM(N165:N168)</f>
        <v>463106</v>
      </c>
      <c r="O169" s="23" t="s">
        <v>113</v>
      </c>
    </row>
    <row r="170" spans="1:15" x14ac:dyDescent="0.3">
      <c r="A170">
        <v>248</v>
      </c>
    </row>
    <row r="171" spans="1:15" x14ac:dyDescent="0.3">
      <c r="A171">
        <v>249</v>
      </c>
    </row>
    <row r="172" spans="1:15" x14ac:dyDescent="0.3">
      <c r="A172">
        <v>250</v>
      </c>
    </row>
    <row r="173" spans="1:15" x14ac:dyDescent="0.3">
      <c r="A173">
        <v>251</v>
      </c>
    </row>
    <row r="174" spans="1:15" x14ac:dyDescent="0.3">
      <c r="A174">
        <v>252</v>
      </c>
    </row>
    <row r="175" spans="1:15" x14ac:dyDescent="0.3">
      <c r="A175">
        <v>253</v>
      </c>
    </row>
    <row r="176" spans="1:15" x14ac:dyDescent="0.3">
      <c r="A176">
        <v>254</v>
      </c>
    </row>
    <row r="177" spans="1:1" x14ac:dyDescent="0.3">
      <c r="A177">
        <v>255</v>
      </c>
    </row>
    <row r="178" spans="1:1" x14ac:dyDescent="0.3">
      <c r="A178">
        <v>256</v>
      </c>
    </row>
    <row r="179" spans="1:1" x14ac:dyDescent="0.3">
      <c r="A179">
        <v>257</v>
      </c>
    </row>
    <row r="197" spans="3:3" x14ac:dyDescent="0.3">
      <c r="C197" s="20"/>
    </row>
    <row r="198" spans="3:3" x14ac:dyDescent="0.3">
      <c r="C198" s="20"/>
    </row>
    <row r="199" spans="3:3" x14ac:dyDescent="0.3">
      <c r="C199" s="20"/>
    </row>
    <row r="200" spans="3:3" x14ac:dyDescent="0.3">
      <c r="C200" s="20"/>
    </row>
    <row r="201" spans="3:3" x14ac:dyDescent="0.3">
      <c r="C201" s="20"/>
    </row>
    <row r="202" spans="3:3" x14ac:dyDescent="0.3">
      <c r="C202" s="20"/>
    </row>
    <row r="203" spans="3:3" x14ac:dyDescent="0.3">
      <c r="C203" s="20"/>
    </row>
    <row r="204" spans="3:3" x14ac:dyDescent="0.3">
      <c r="C204" s="20"/>
    </row>
  </sheetData>
  <sortState columnSort="1" ref="C1:M7">
    <sortCondition ref="C1:M1"/>
  </sortState>
  <mergeCells count="1">
    <mergeCell ref="A8:A14"/>
  </mergeCells>
  <conditionalFormatting sqref="C4:M14">
    <cfRule type="colorScale" priority="14">
      <colorScale>
        <cfvo type="min"/>
        <cfvo type="percentile" val="50"/>
        <cfvo type="max"/>
        <color rgb="FF63BE7B"/>
        <color rgb="FFFFEB84"/>
        <color rgb="FFF8696B"/>
      </colorScale>
    </cfRule>
  </conditionalFormatting>
  <conditionalFormatting sqref="C25:M25">
    <cfRule type="colorScale" priority="12">
      <colorScale>
        <cfvo type="min"/>
        <cfvo type="percentile" val="50"/>
        <cfvo type="max"/>
        <color rgb="FF63BE7B"/>
        <color rgb="FFFFEB84"/>
        <color rgb="FFF8696B"/>
      </colorScale>
    </cfRule>
  </conditionalFormatting>
  <conditionalFormatting sqref="C26:M26">
    <cfRule type="colorScale" priority="11">
      <colorScale>
        <cfvo type="min"/>
        <cfvo type="percentile" val="50"/>
        <cfvo type="max"/>
        <color rgb="FF63BE7B"/>
        <color rgb="FFFFEB84"/>
        <color rgb="FFF8696B"/>
      </colorScale>
    </cfRule>
  </conditionalFormatting>
  <conditionalFormatting sqref="C28:M28">
    <cfRule type="colorScale" priority="9">
      <colorScale>
        <cfvo type="min"/>
        <cfvo type="percentile" val="50"/>
        <cfvo type="max"/>
        <color rgb="FF63BE7B"/>
        <color rgb="FFFFEB84"/>
        <color rgb="FFF8696B"/>
      </colorScale>
    </cfRule>
  </conditionalFormatting>
  <conditionalFormatting sqref="C30:M30">
    <cfRule type="colorScale" priority="8">
      <colorScale>
        <cfvo type="min"/>
        <cfvo type="percentile" val="50"/>
        <cfvo type="max"/>
        <color rgb="FF63BE7B"/>
        <color rgb="FFFFEB84"/>
        <color rgb="FFF8696B"/>
      </colorScale>
    </cfRule>
  </conditionalFormatting>
  <conditionalFormatting sqref="C32:M32">
    <cfRule type="colorScale" priority="7">
      <colorScale>
        <cfvo type="min"/>
        <cfvo type="percentile" val="50"/>
        <cfvo type="max"/>
        <color rgb="FF63BE7B"/>
        <color rgb="FFFFEB84"/>
        <color rgb="FFF8696B"/>
      </colorScale>
    </cfRule>
  </conditionalFormatting>
  <conditionalFormatting sqref="C34:M34">
    <cfRule type="colorScale" priority="6">
      <colorScale>
        <cfvo type="min"/>
        <cfvo type="percentile" val="50"/>
        <cfvo type="max"/>
        <color rgb="FF63BE7B"/>
        <color rgb="FFFFEB84"/>
        <color rgb="FFF8696B"/>
      </colorScale>
    </cfRule>
  </conditionalFormatting>
  <conditionalFormatting sqref="C36:M36">
    <cfRule type="colorScale" priority="5">
      <colorScale>
        <cfvo type="min"/>
        <cfvo type="percentile" val="50"/>
        <cfvo type="max"/>
        <color rgb="FF63BE7B"/>
        <color rgb="FFFFEB84"/>
        <color rgb="FFF8696B"/>
      </colorScale>
    </cfRule>
  </conditionalFormatting>
  <conditionalFormatting sqref="C38:M38">
    <cfRule type="colorScale" priority="4">
      <colorScale>
        <cfvo type="min"/>
        <cfvo type="percentile" val="50"/>
        <cfvo type="max"/>
        <color rgb="FF63BE7B"/>
        <color rgb="FFFFEB84"/>
        <color rgb="FFF8696B"/>
      </colorScale>
    </cfRule>
  </conditionalFormatting>
  <conditionalFormatting sqref="C15:M24">
    <cfRule type="colorScale" priority="15">
      <colorScale>
        <cfvo type="min"/>
        <cfvo type="percentile" val="50"/>
        <cfvo type="max"/>
        <color rgb="FF63BE7B"/>
        <color rgb="FFFFEB84"/>
        <color rgb="FFF8696B"/>
      </colorScale>
    </cfRule>
  </conditionalFormatting>
  <conditionalFormatting sqref="C27:M27">
    <cfRule type="colorScale" priority="3">
      <colorScale>
        <cfvo type="min"/>
        <cfvo type="percentile" val="50"/>
        <cfvo type="max"/>
        <color rgb="FF63BE7B"/>
        <color rgb="FFFFEB84"/>
        <color rgb="FFF8696B"/>
      </colorScale>
    </cfRule>
  </conditionalFormatting>
  <conditionalFormatting sqref="C118:M118">
    <cfRule type="colorScale" priority="2">
      <colorScale>
        <cfvo type="min"/>
        <cfvo type="percentile" val="50"/>
        <cfvo type="max"/>
        <color rgb="FFF8696B"/>
        <color rgb="FFFFEB84"/>
        <color rgb="FF63BE7B"/>
      </colorScale>
    </cfRule>
  </conditionalFormatting>
  <conditionalFormatting sqref="C117:M117">
    <cfRule type="colorScale" priority="1">
      <colorScale>
        <cfvo type="min"/>
        <cfvo type="percentile" val="50"/>
        <cfvo type="max"/>
        <color rgb="FFF8696B"/>
        <color rgb="FFFFEB84"/>
        <color rgb="FF63BE7B"/>
      </colorScale>
    </cfRule>
  </conditionalFormatting>
  <printOptions gridLines="1"/>
  <pageMargins left="0.7" right="0.7" top="0.78740157499999996" bottom="0.78740157499999996" header="0.3" footer="0.3"/>
  <pageSetup paperSize="9" scale="49" fitToHeight="0" orientation="landscape" r:id="rId1"/>
  <rowBreaks count="2" manualBreakCount="2">
    <brk id="71" max="14" man="1"/>
    <brk id="12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P18" sqref="P18"/>
    </sheetView>
  </sheetViews>
  <sheetFormatPr baseColWidth="10" defaultRowHeight="14.4" x14ac:dyDescent="0.3"/>
  <cols>
    <col min="1" max="1" width="59.109375" bestFit="1" customWidth="1"/>
    <col min="2" max="2" width="14.33203125" bestFit="1" customWidth="1"/>
    <col min="3" max="3" width="16.88671875" bestFit="1" customWidth="1"/>
    <col min="4" max="8" width="15.21875" customWidth="1"/>
    <col min="9" max="12" width="15.21875" hidden="1" customWidth="1"/>
  </cols>
  <sheetData>
    <row r="1" spans="1:7" s="22" customFormat="1" ht="14.25" x14ac:dyDescent="0.45">
      <c r="A1" s="22" t="s">
        <v>190</v>
      </c>
      <c r="C1" s="22" t="s">
        <v>202</v>
      </c>
    </row>
    <row r="2" spans="1:7" x14ac:dyDescent="0.3">
      <c r="A2" s="120" t="s">
        <v>198</v>
      </c>
      <c r="B2" s="125">
        <v>1.4E-2</v>
      </c>
    </row>
    <row r="3" spans="1:7" x14ac:dyDescent="0.3">
      <c r="A3" s="123" t="s">
        <v>199</v>
      </c>
      <c r="B3" s="124">
        <v>0.02</v>
      </c>
    </row>
    <row r="4" spans="1:7" x14ac:dyDescent="0.3">
      <c r="A4" s="120" t="s">
        <v>200</v>
      </c>
      <c r="B4" s="125">
        <v>0</v>
      </c>
    </row>
    <row r="5" spans="1:7" x14ac:dyDescent="0.3">
      <c r="A5" s="123" t="s">
        <v>201</v>
      </c>
      <c r="B5" s="124">
        <v>1.4999999999999999E-2</v>
      </c>
      <c r="G5" s="126"/>
    </row>
    <row r="6" spans="1:7" x14ac:dyDescent="0.3">
      <c r="A6" s="120" t="s">
        <v>203</v>
      </c>
      <c r="B6" s="121">
        <v>0.08</v>
      </c>
      <c r="G6" s="126"/>
    </row>
    <row r="7" spans="1:7" x14ac:dyDescent="0.3">
      <c r="A7" s="120" t="s">
        <v>204</v>
      </c>
      <c r="B7" s="122">
        <v>2019</v>
      </c>
      <c r="G7" s="126"/>
    </row>
    <row r="8" spans="1:7" ht="14.25" x14ac:dyDescent="0.45">
      <c r="B8" s="128"/>
      <c r="G8" s="126"/>
    </row>
    <row r="9" spans="1:7" ht="14.25" x14ac:dyDescent="0.45">
      <c r="B9" s="128"/>
      <c r="G9" s="126"/>
    </row>
    <row r="10" spans="1:7" ht="14.25" hidden="1" x14ac:dyDescent="0.45">
      <c r="B10" s="116"/>
      <c r="G10" s="126"/>
    </row>
    <row r="11" spans="1:7" ht="14.25" hidden="1" x14ac:dyDescent="0.45">
      <c r="B11" s="116"/>
      <c r="G11" s="126"/>
    </row>
    <row r="12" spans="1:7" ht="14.25" hidden="1" x14ac:dyDescent="0.45">
      <c r="B12" s="116"/>
      <c r="G12" s="126"/>
    </row>
    <row r="13" spans="1:7" ht="14.25" hidden="1" x14ac:dyDescent="0.45">
      <c r="B13" s="116"/>
      <c r="G13" s="126"/>
    </row>
    <row r="14" spans="1:7" ht="14.25" hidden="1" x14ac:dyDescent="0.45">
      <c r="B14" s="116"/>
      <c r="G14" s="126"/>
    </row>
    <row r="15" spans="1:7" ht="14.25" hidden="1" x14ac:dyDescent="0.45">
      <c r="B15" s="116"/>
      <c r="G15" s="126"/>
    </row>
    <row r="16" spans="1:7" ht="14.25" x14ac:dyDescent="0.45">
      <c r="B16" s="116"/>
      <c r="G16" s="127"/>
    </row>
    <row r="17" spans="1:3" ht="14.25" x14ac:dyDescent="0.45">
      <c r="A17" t="s">
        <v>196</v>
      </c>
      <c r="B17" s="118">
        <f>Entschuldungsbeiträge!B11</f>
        <v>129443.9</v>
      </c>
    </row>
    <row r="18" spans="1:3" ht="14.25" x14ac:dyDescent="0.45">
      <c r="A18" t="s">
        <v>193</v>
      </c>
      <c r="B18" s="118">
        <v>2300000</v>
      </c>
    </row>
    <row r="19" spans="1:3" ht="14.25" x14ac:dyDescent="0.45">
      <c r="A19" t="s">
        <v>89</v>
      </c>
      <c r="B19" s="118">
        <v>500000</v>
      </c>
    </row>
    <row r="20" spans="1:3" ht="14.25" x14ac:dyDescent="0.45">
      <c r="A20" t="s">
        <v>90</v>
      </c>
      <c r="B20" s="118">
        <v>1400000</v>
      </c>
    </row>
    <row r="21" spans="1:3" ht="14.25" x14ac:dyDescent="0.45">
      <c r="A21" t="s">
        <v>91</v>
      </c>
      <c r="B21" s="118"/>
    </row>
    <row r="22" spans="1:3" ht="14.25" x14ac:dyDescent="0.45">
      <c r="A22" t="s">
        <v>92</v>
      </c>
      <c r="B22" s="118"/>
    </row>
    <row r="23" spans="1:3" ht="14.25" x14ac:dyDescent="0.45">
      <c r="A23" t="s">
        <v>93</v>
      </c>
      <c r="B23" s="118"/>
    </row>
    <row r="24" spans="1:3" ht="14.25" x14ac:dyDescent="0.45">
      <c r="A24" t="s">
        <v>94</v>
      </c>
      <c r="B24" s="118"/>
    </row>
    <row r="25" spans="1:3" ht="14.25" x14ac:dyDescent="0.45">
      <c r="A25" t="s">
        <v>95</v>
      </c>
      <c r="B25" s="118"/>
    </row>
    <row r="26" spans="1:3" ht="14.25" x14ac:dyDescent="0.45">
      <c r="A26" t="s">
        <v>194</v>
      </c>
      <c r="B26" s="118"/>
    </row>
    <row r="27" spans="1:3" ht="14.25" x14ac:dyDescent="0.45">
      <c r="A27" t="s">
        <v>195</v>
      </c>
      <c r="B27" s="118"/>
    </row>
    <row r="28" spans="1:3" ht="14.25" x14ac:dyDescent="0.45">
      <c r="B28" s="116"/>
    </row>
    <row r="29" spans="1:3" ht="14.25" hidden="1" x14ac:dyDescent="0.45">
      <c r="B29" s="116"/>
      <c r="C29" s="128"/>
    </row>
    <row r="30" spans="1:3" ht="14.25" hidden="1" x14ac:dyDescent="0.45">
      <c r="B30" s="116"/>
    </row>
    <row r="31" spans="1:3" ht="14.25" hidden="1" x14ac:dyDescent="0.45">
      <c r="B31" s="116"/>
    </row>
    <row r="32" spans="1:3" ht="14.25" hidden="1" x14ac:dyDescent="0.45">
      <c r="B32" s="116"/>
    </row>
    <row r="33" spans="1:12" ht="14.25" hidden="1" x14ac:dyDescent="0.45">
      <c r="B33" s="116"/>
    </row>
    <row r="34" spans="1:12" ht="14.25" hidden="1" x14ac:dyDescent="0.45">
      <c r="B34" s="116"/>
    </row>
    <row r="35" spans="1:12" ht="14.25" hidden="1" x14ac:dyDescent="0.45">
      <c r="B35" s="116"/>
    </row>
    <row r="36" spans="1:12" ht="14.25" x14ac:dyDescent="0.45">
      <c r="B36" s="116"/>
    </row>
    <row r="37" spans="1:12" ht="14.25" x14ac:dyDescent="0.45">
      <c r="B37" s="116"/>
    </row>
    <row r="38" spans="1:12" s="117" customFormat="1" ht="14.25" x14ac:dyDescent="0.45">
      <c r="B38" s="117">
        <v>2015</v>
      </c>
      <c r="C38" s="117">
        <v>2016</v>
      </c>
      <c r="D38" s="117">
        <v>2017</v>
      </c>
      <c r="E38" s="117">
        <v>2018</v>
      </c>
      <c r="F38" s="117">
        <v>2019</v>
      </c>
      <c r="G38" s="117">
        <v>2020</v>
      </c>
      <c r="H38" s="117">
        <v>2021</v>
      </c>
      <c r="I38" s="117">
        <v>2022</v>
      </c>
      <c r="J38" s="117">
        <v>2023</v>
      </c>
      <c r="K38" s="117">
        <v>2024</v>
      </c>
      <c r="L38" s="117">
        <v>2025</v>
      </c>
    </row>
    <row r="39" spans="1:12" ht="14.25" x14ac:dyDescent="0.45">
      <c r="A39" t="s">
        <v>111</v>
      </c>
      <c r="B39">
        <f>Basisdaten!N15</f>
        <v>34126</v>
      </c>
      <c r="C39" s="27">
        <f>B39*(100-($B$2*100))/100</f>
        <v>33648.235999999997</v>
      </c>
      <c r="D39" s="27">
        <f t="shared" ref="D39:L39" si="0">C39*(100-($B$2*100))/100</f>
        <v>33177.160695999999</v>
      </c>
      <c r="E39" s="27">
        <f t="shared" si="0"/>
        <v>32712.680446255999</v>
      </c>
      <c r="F39" s="27">
        <f t="shared" si="0"/>
        <v>32254.702920008414</v>
      </c>
      <c r="G39" s="27">
        <f t="shared" si="0"/>
        <v>31803.137079128297</v>
      </c>
      <c r="H39" s="27">
        <f t="shared" si="0"/>
        <v>31357.8931600205</v>
      </c>
      <c r="I39" s="27">
        <f t="shared" si="0"/>
        <v>30918.882655780213</v>
      </c>
      <c r="J39" s="27">
        <f t="shared" si="0"/>
        <v>30486.018298599287</v>
      </c>
      <c r="K39" s="27">
        <f t="shared" si="0"/>
        <v>30059.214042418898</v>
      </c>
      <c r="L39" s="27">
        <f t="shared" si="0"/>
        <v>29638.385045825034</v>
      </c>
    </row>
    <row r="40" spans="1:12" ht="14.25" x14ac:dyDescent="0.45">
      <c r="A40" t="s">
        <v>191</v>
      </c>
      <c r="B40" s="118">
        <f>Basisdaten!N101</f>
        <v>11780361</v>
      </c>
      <c r="C40" s="118">
        <f>(IF(C38=$B$7,B40/100*(100-($B$6*100)),B40))/100*(100-($B$3*100))</f>
        <v>11544753.779999999</v>
      </c>
      <c r="D40" s="118">
        <f t="shared" ref="D40:L40" si="1">(IF(D38=$B$7,C40/100*(100-($B$6*100)),C40))/100*(100-($B$3*100))</f>
        <v>11313858.704399999</v>
      </c>
      <c r="E40" s="118">
        <f t="shared" si="1"/>
        <v>11087581.530311998</v>
      </c>
      <c r="F40" s="118">
        <f t="shared" si="1"/>
        <v>9996563.5077292975</v>
      </c>
      <c r="G40" s="118">
        <f t="shared" si="1"/>
        <v>9796632.2375747114</v>
      </c>
      <c r="H40" s="118">
        <f t="shared" si="1"/>
        <v>9600699.5928232167</v>
      </c>
      <c r="I40" s="118">
        <f>(IF(I38=$B$7,H40/100*(100-($B$6*100)),H40))/100*(100-($B$3*100))</f>
        <v>9408685.6009667516</v>
      </c>
      <c r="J40" s="118">
        <f t="shared" si="1"/>
        <v>9220511.888947418</v>
      </c>
      <c r="K40" s="118">
        <f t="shared" si="1"/>
        <v>9036101.6511684693</v>
      </c>
      <c r="L40" s="118">
        <f t="shared" si="1"/>
        <v>8855379.6181450989</v>
      </c>
    </row>
    <row r="41" spans="1:12" ht="14.25" x14ac:dyDescent="0.45">
      <c r="A41" t="s">
        <v>83</v>
      </c>
      <c r="B41" s="118">
        <f>Basisdaten!N102+Basisdaten!N105+Basisdaten!N106</f>
        <v>3694235</v>
      </c>
      <c r="C41" s="118">
        <f>B41*(100-($B$4*100))/100</f>
        <v>3694235</v>
      </c>
      <c r="D41" s="118">
        <f t="shared" ref="D41:L41" si="2">C41</f>
        <v>3694235</v>
      </c>
      <c r="E41" s="118">
        <f t="shared" si="2"/>
        <v>3694235</v>
      </c>
      <c r="F41" s="118">
        <f t="shared" si="2"/>
        <v>3694235</v>
      </c>
      <c r="G41" s="118">
        <f t="shared" si="2"/>
        <v>3694235</v>
      </c>
      <c r="H41" s="118">
        <f t="shared" si="2"/>
        <v>3694235</v>
      </c>
      <c r="I41" s="118">
        <f t="shared" si="2"/>
        <v>3694235</v>
      </c>
      <c r="J41" s="118">
        <f t="shared" si="2"/>
        <v>3694235</v>
      </c>
      <c r="K41" s="118">
        <f t="shared" si="2"/>
        <v>3694235</v>
      </c>
      <c r="L41" s="118">
        <f t="shared" si="2"/>
        <v>3694235</v>
      </c>
    </row>
    <row r="42" spans="1:12" ht="14.25" x14ac:dyDescent="0.45">
      <c r="A42" t="s">
        <v>84</v>
      </c>
      <c r="B42" s="118">
        <f>Basisdaten!N103+Basisdaten!N104</f>
        <v>6612539</v>
      </c>
      <c r="C42" s="118">
        <f>B42*(100-($B$5*100))/100</f>
        <v>6513350.915</v>
      </c>
      <c r="D42" s="118">
        <f t="shared" ref="D42:L42" si="3">C42*(100-($B$5*100))/100</f>
        <v>6415650.6512750005</v>
      </c>
      <c r="E42" s="118">
        <f t="shared" si="3"/>
        <v>6319415.8915058756</v>
      </c>
      <c r="F42" s="118">
        <f t="shared" si="3"/>
        <v>6224624.6531332871</v>
      </c>
      <c r="G42" s="118">
        <f t="shared" si="3"/>
        <v>6131255.2833362874</v>
      </c>
      <c r="H42" s="118">
        <f t="shared" si="3"/>
        <v>6039286.4540862432</v>
      </c>
      <c r="I42" s="118">
        <f t="shared" si="3"/>
        <v>5948697.1572749494</v>
      </c>
      <c r="J42" s="118">
        <f t="shared" si="3"/>
        <v>5859466.6999158254</v>
      </c>
      <c r="K42" s="118">
        <f t="shared" si="3"/>
        <v>5771574.6994170882</v>
      </c>
      <c r="L42" s="118">
        <f t="shared" si="3"/>
        <v>5685001.0789258312</v>
      </c>
    </row>
    <row r="44" spans="1:12" ht="14.25" x14ac:dyDescent="0.45">
      <c r="B44" s="119"/>
      <c r="C44" s="119"/>
      <c r="D44" s="119"/>
      <c r="E44" s="119"/>
      <c r="F44" s="119"/>
      <c r="G44" s="119"/>
      <c r="H44" s="119"/>
      <c r="I44" s="119"/>
      <c r="J44" s="119"/>
      <c r="K44" s="119"/>
      <c r="L44" s="119"/>
    </row>
    <row r="48" spans="1:12" x14ac:dyDescent="0.3">
      <c r="A48" t="s">
        <v>192</v>
      </c>
      <c r="B48" s="118">
        <f>Basisdaten!N107</f>
        <v>15875172.92</v>
      </c>
      <c r="C48" s="118">
        <f>B48-B18</f>
        <v>13575172.92</v>
      </c>
      <c r="D48" s="118">
        <f>C48-B19</f>
        <v>13075172.92</v>
      </c>
      <c r="E48" s="118">
        <f>D48-B20</f>
        <v>11675172.92</v>
      </c>
      <c r="F48" s="118">
        <f>E48-B20</f>
        <v>10275172.92</v>
      </c>
      <c r="G48" s="118">
        <f>F48-B21+B17</f>
        <v>10404616.82</v>
      </c>
      <c r="H48" s="118">
        <f>G48-B23</f>
        <v>10404616.82</v>
      </c>
      <c r="I48" s="118">
        <f>H48-B24</f>
        <v>10404616.82</v>
      </c>
      <c r="J48" s="118">
        <f>I48-B25</f>
        <v>10404616.82</v>
      </c>
      <c r="K48" s="118">
        <f>J48-B26</f>
        <v>10404616.82</v>
      </c>
      <c r="L48" s="118">
        <f>K48-B27</f>
        <v>10404616.82</v>
      </c>
    </row>
    <row r="49" spans="1:12" x14ac:dyDescent="0.3">
      <c r="A49" t="s">
        <v>197</v>
      </c>
      <c r="B49" s="118">
        <f>Basisdaten!S108</f>
        <v>7084770.620000001</v>
      </c>
      <c r="C49" s="118"/>
      <c r="D49" s="118"/>
      <c r="E49" s="118"/>
      <c r="F49" s="118"/>
      <c r="G49" s="118"/>
      <c r="H49" s="118"/>
      <c r="I49" s="118"/>
      <c r="J49" s="118"/>
      <c r="K49" s="118"/>
      <c r="L49" s="118"/>
    </row>
    <row r="50" spans="1:12" x14ac:dyDescent="0.3">
      <c r="A50" t="s">
        <v>205</v>
      </c>
      <c r="B50" s="118">
        <v>0</v>
      </c>
      <c r="C50" s="118">
        <f>B18</f>
        <v>2300000</v>
      </c>
      <c r="D50" s="118">
        <f>B19</f>
        <v>500000</v>
      </c>
      <c r="E50" s="118">
        <f>B20</f>
        <v>1400000</v>
      </c>
      <c r="F50" s="118">
        <f>B21</f>
        <v>0</v>
      </c>
      <c r="G50" s="118">
        <f>B22</f>
        <v>0</v>
      </c>
      <c r="H50" s="118">
        <f>B23</f>
        <v>0</v>
      </c>
      <c r="I50" s="118">
        <f>B24</f>
        <v>0</v>
      </c>
      <c r="J50" s="118">
        <f>B25</f>
        <v>0</v>
      </c>
      <c r="K50" s="118">
        <f>B26</f>
        <v>0</v>
      </c>
      <c r="L50" s="118">
        <f>B27</f>
        <v>0</v>
      </c>
    </row>
    <row r="51" spans="1:12" x14ac:dyDescent="0.3">
      <c r="B51" s="118"/>
      <c r="C51" s="118"/>
      <c r="D51" s="118"/>
      <c r="E51" s="118"/>
      <c r="F51" s="118"/>
      <c r="G51" s="118"/>
      <c r="H51" s="118"/>
      <c r="I51" s="118"/>
      <c r="J51" s="118"/>
      <c r="K51" s="118"/>
      <c r="L51" s="118"/>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E21" sqref="E21"/>
    </sheetView>
  </sheetViews>
  <sheetFormatPr baseColWidth="10" defaultRowHeight="14.4" x14ac:dyDescent="0.3"/>
  <cols>
    <col min="1" max="1" width="42.109375" bestFit="1" customWidth="1"/>
    <col min="2" max="4" width="11.88671875" bestFit="1" customWidth="1"/>
    <col min="5" max="5" width="12.5546875" bestFit="1" customWidth="1"/>
    <col min="6" max="8" width="11.88671875" bestFit="1" customWidth="1"/>
    <col min="9" max="9" width="11.88671875" hidden="1" customWidth="1"/>
    <col min="10" max="10" width="10.88671875" hidden="1" customWidth="1"/>
    <col min="11" max="11" width="11.88671875" hidden="1" customWidth="1"/>
    <col min="12" max="12" width="13.33203125" hidden="1" customWidth="1"/>
    <col min="13" max="13" width="13.33203125" bestFit="1" customWidth="1"/>
  </cols>
  <sheetData>
    <row r="1" spans="1:13" ht="18" x14ac:dyDescent="0.35">
      <c r="A1" s="132" t="s">
        <v>206</v>
      </c>
    </row>
    <row r="4" spans="1:13" s="23" customFormat="1" ht="14.25" x14ac:dyDescent="0.45">
      <c r="B4" s="54" t="str">
        <f>Basisdaten!C1</f>
        <v>Gemeinde 1</v>
      </c>
      <c r="C4" s="54" t="str">
        <f>Basisdaten!D1</f>
        <v>Gemeinde 2</v>
      </c>
      <c r="D4" s="54" t="str">
        <f>Basisdaten!E1</f>
        <v>Gemeinde 3</v>
      </c>
      <c r="E4" s="54" t="str">
        <f>Basisdaten!F1</f>
        <v>Gemeinde 4</v>
      </c>
      <c r="F4" s="54" t="str">
        <f>Basisdaten!G1</f>
        <v>Gemeinde 5</v>
      </c>
      <c r="G4" s="54" t="str">
        <f>Basisdaten!H1</f>
        <v>Gemeinde 6</v>
      </c>
      <c r="H4" s="54" t="str">
        <f>Basisdaten!I1</f>
        <v>Gemeinde 7</v>
      </c>
      <c r="I4" s="54" t="str">
        <f>Basisdaten!J1</f>
        <v>Gemeinde 8</v>
      </c>
      <c r="J4" s="54" t="str">
        <f>Basisdaten!K1</f>
        <v>Gemeinde 9</v>
      </c>
      <c r="K4" s="54" t="str">
        <f>Basisdaten!L1</f>
        <v>Gemeinde 10</v>
      </c>
      <c r="L4" s="54" t="str">
        <f>Basisdaten!M1</f>
        <v>Gemeinde 11</v>
      </c>
      <c r="M4" s="54" t="str">
        <f>Basisdaten!N1</f>
        <v>Total</v>
      </c>
    </row>
    <row r="5" spans="1:13" ht="14.25" x14ac:dyDescent="0.45">
      <c r="A5" t="str">
        <f>Basisdaten!B102</f>
        <v>Zentralkassenbeitrag (2015)</v>
      </c>
      <c r="B5" s="118">
        <f>Basisdaten!C102</f>
        <v>16472</v>
      </c>
      <c r="C5" s="118">
        <f>Basisdaten!D102</f>
        <v>278613</v>
      </c>
      <c r="D5" s="118">
        <f>Basisdaten!E102</f>
        <v>172836</v>
      </c>
      <c r="E5" s="118">
        <f>Basisdaten!F102</f>
        <v>-105891</v>
      </c>
      <c r="F5" s="118">
        <f>Basisdaten!G102</f>
        <v>324241</v>
      </c>
      <c r="G5" s="118">
        <f>Basisdaten!H102</f>
        <v>170082</v>
      </c>
      <c r="H5" s="118">
        <f>Basisdaten!I102</f>
        <v>407384</v>
      </c>
      <c r="I5" s="118">
        <f>Basisdaten!J102</f>
        <v>275700</v>
      </c>
      <c r="J5" s="118">
        <f>Basisdaten!K102</f>
        <v>53493</v>
      </c>
      <c r="K5" s="118">
        <f>Basisdaten!L102</f>
        <v>-55098</v>
      </c>
      <c r="L5" s="118">
        <f>Basisdaten!M102</f>
        <v>671758</v>
      </c>
      <c r="M5" s="130">
        <f>Basisdaten!N102</f>
        <v>2209590</v>
      </c>
    </row>
    <row r="6" spans="1:13" ht="14.25" x14ac:dyDescent="0.45">
      <c r="A6" t="str">
        <f>Basisdaten!B103</f>
        <v>Ausgaben Gemeindeleben 391-394.3*/Excl. _30 (2015)</v>
      </c>
      <c r="B6" s="118">
        <f>Basisdaten!C103</f>
        <v>94619</v>
      </c>
      <c r="C6" s="118">
        <f>Basisdaten!D103</f>
        <v>108429</v>
      </c>
      <c r="D6" s="118">
        <f>Basisdaten!E103</f>
        <v>66683</v>
      </c>
      <c r="E6" s="118">
        <f>Basisdaten!F103</f>
        <v>73470</v>
      </c>
      <c r="F6" s="118">
        <f>Basisdaten!G103</f>
        <v>204598</v>
      </c>
      <c r="G6" s="118">
        <f>Basisdaten!H103</f>
        <v>43062</v>
      </c>
      <c r="H6" s="118">
        <f>Basisdaten!I103</f>
        <v>206818</v>
      </c>
      <c r="I6" s="118">
        <f>Basisdaten!J103</f>
        <v>154733</v>
      </c>
      <c r="J6" s="118">
        <f>Basisdaten!K103</f>
        <v>17573</v>
      </c>
      <c r="K6" s="118">
        <f>Basisdaten!L103</f>
        <v>102214</v>
      </c>
      <c r="L6" s="118">
        <f>Basisdaten!M103</f>
        <v>397880</v>
      </c>
      <c r="M6" s="130">
        <f>Basisdaten!N103</f>
        <v>1470079</v>
      </c>
    </row>
    <row r="7" spans="1:13" ht="14.25" x14ac:dyDescent="0.45">
      <c r="A7" t="str">
        <f>Basisdaten!B104</f>
        <v>Ausgaben Personal *.30* (2015)</v>
      </c>
      <c r="B7" s="118">
        <f>Basisdaten!C104</f>
        <v>373304</v>
      </c>
      <c r="C7" s="118">
        <f>Basisdaten!D104</f>
        <v>442539</v>
      </c>
      <c r="D7" s="118">
        <f>Basisdaten!E104</f>
        <v>349098</v>
      </c>
      <c r="E7" s="118">
        <f>Basisdaten!F104</f>
        <v>145956</v>
      </c>
      <c r="F7" s="118">
        <f>Basisdaten!G104</f>
        <v>468557</v>
      </c>
      <c r="G7" s="118">
        <f>Basisdaten!H104</f>
        <v>278661</v>
      </c>
      <c r="H7" s="118">
        <f>Basisdaten!I104</f>
        <v>708894</v>
      </c>
      <c r="I7" s="118">
        <f>Basisdaten!J104</f>
        <v>576536</v>
      </c>
      <c r="J7" s="118">
        <f>Basisdaten!K104</f>
        <v>79877</v>
      </c>
      <c r="K7" s="118">
        <f>Basisdaten!L104</f>
        <v>543368</v>
      </c>
      <c r="L7" s="118">
        <f>Basisdaten!M104</f>
        <v>1175670</v>
      </c>
      <c r="M7" s="130">
        <f>Basisdaten!N104</f>
        <v>5142460</v>
      </c>
    </row>
    <row r="8" spans="1:13" ht="14.25" x14ac:dyDescent="0.45">
      <c r="A8" t="str">
        <f>Basisdaten!B105</f>
        <v>Ausgaben Liegenschaften (2015)</v>
      </c>
      <c r="B8" s="118">
        <f>Basisdaten!C105</f>
        <v>75257</v>
      </c>
      <c r="C8" s="118">
        <f>Basisdaten!D105</f>
        <v>145218</v>
      </c>
      <c r="D8" s="118">
        <f>Basisdaten!E105</f>
        <v>71071</v>
      </c>
      <c r="E8" s="118">
        <f>Basisdaten!F105</f>
        <v>18097</v>
      </c>
      <c r="F8" s="118">
        <f>Basisdaten!G105</f>
        <v>43794</v>
      </c>
      <c r="G8" s="118">
        <f>Basisdaten!H105</f>
        <v>-47102</v>
      </c>
      <c r="H8" s="118">
        <f>Basisdaten!I105</f>
        <v>30912</v>
      </c>
      <c r="I8" s="118">
        <f>Basisdaten!J105</f>
        <v>52985</v>
      </c>
      <c r="J8" s="118">
        <f>Basisdaten!K105</f>
        <v>-4996</v>
      </c>
      <c r="K8" s="118">
        <f>Basisdaten!L105</f>
        <v>-24826</v>
      </c>
      <c r="L8" s="118">
        <f>Basisdaten!M105</f>
        <v>224629</v>
      </c>
      <c r="M8" s="130">
        <f>Basisdaten!N105</f>
        <v>585039</v>
      </c>
    </row>
    <row r="9" spans="1:13" ht="14.25" x14ac:dyDescent="0.45">
      <c r="A9" t="str">
        <f>Basisdaten!B106</f>
        <v>Ausgaben Verwaltung 390.3* /Excl._30 (2015)</v>
      </c>
      <c r="B9" s="118">
        <f>Basisdaten!C106</f>
        <v>76540</v>
      </c>
      <c r="C9" s="118">
        <f>Basisdaten!D106</f>
        <v>72441</v>
      </c>
      <c r="D9" s="118">
        <f>Basisdaten!E106</f>
        <v>61148</v>
      </c>
      <c r="E9" s="118">
        <f>Basisdaten!F106</f>
        <v>13393</v>
      </c>
      <c r="F9" s="118">
        <f>Basisdaten!G106</f>
        <v>69904</v>
      </c>
      <c r="G9" s="118">
        <f>Basisdaten!H106</f>
        <v>57842</v>
      </c>
      <c r="H9" s="118">
        <f>Basisdaten!I106</f>
        <v>107909</v>
      </c>
      <c r="I9" s="118">
        <f>Basisdaten!J106</f>
        <v>109655</v>
      </c>
      <c r="J9" s="118">
        <f>Basisdaten!K106</f>
        <v>34596</v>
      </c>
      <c r="K9" s="118">
        <f>Basisdaten!L106</f>
        <v>79470</v>
      </c>
      <c r="L9" s="118">
        <f>Basisdaten!M106</f>
        <v>216708</v>
      </c>
      <c r="M9" s="130">
        <f>Basisdaten!N106</f>
        <v>899606</v>
      </c>
    </row>
    <row r="12" spans="1:13" ht="14.25" x14ac:dyDescent="0.45">
      <c r="A12" t="s">
        <v>83</v>
      </c>
      <c r="B12" s="118">
        <f>B5+B8+B9</f>
        <v>168269</v>
      </c>
      <c r="C12" s="118">
        <f t="shared" ref="C12:M12" si="0">C5+C8+C9</f>
        <v>496272</v>
      </c>
      <c r="D12" s="118">
        <f t="shared" si="0"/>
        <v>305055</v>
      </c>
      <c r="E12" s="118">
        <f t="shared" si="0"/>
        <v>-74401</v>
      </c>
      <c r="F12" s="118">
        <f t="shared" si="0"/>
        <v>437939</v>
      </c>
      <c r="G12" s="118">
        <f t="shared" si="0"/>
        <v>180822</v>
      </c>
      <c r="H12" s="118">
        <f t="shared" si="0"/>
        <v>546205</v>
      </c>
      <c r="I12" s="118">
        <f t="shared" si="0"/>
        <v>438340</v>
      </c>
      <c r="J12" s="118">
        <f t="shared" si="0"/>
        <v>83093</v>
      </c>
      <c r="K12" s="118">
        <f t="shared" si="0"/>
        <v>-454</v>
      </c>
      <c r="L12" s="118">
        <f t="shared" si="0"/>
        <v>1113095</v>
      </c>
      <c r="M12" s="118">
        <f t="shared" si="0"/>
        <v>3694235</v>
      </c>
    </row>
    <row r="13" spans="1:13" ht="14.25" x14ac:dyDescent="0.45">
      <c r="A13" t="s">
        <v>84</v>
      </c>
      <c r="B13" s="118">
        <f>B6+B7</f>
        <v>467923</v>
      </c>
      <c r="C13" s="118">
        <f t="shared" ref="C13:M13" si="1">C6+C7</f>
        <v>550968</v>
      </c>
      <c r="D13" s="118">
        <f t="shared" si="1"/>
        <v>415781</v>
      </c>
      <c r="E13" s="118">
        <f t="shared" si="1"/>
        <v>219426</v>
      </c>
      <c r="F13" s="118">
        <f t="shared" si="1"/>
        <v>673155</v>
      </c>
      <c r="G13" s="118">
        <f t="shared" si="1"/>
        <v>321723</v>
      </c>
      <c r="H13" s="118">
        <f t="shared" si="1"/>
        <v>915712</v>
      </c>
      <c r="I13" s="118">
        <f t="shared" si="1"/>
        <v>731269</v>
      </c>
      <c r="J13" s="118">
        <f t="shared" si="1"/>
        <v>97450</v>
      </c>
      <c r="K13" s="118">
        <f t="shared" si="1"/>
        <v>645582</v>
      </c>
      <c r="L13" s="118">
        <f t="shared" si="1"/>
        <v>1573550</v>
      </c>
      <c r="M13" s="118">
        <f t="shared" si="1"/>
        <v>6612539</v>
      </c>
    </row>
    <row r="15" spans="1:13" x14ac:dyDescent="0.3">
      <c r="A15" t="s">
        <v>86</v>
      </c>
      <c r="B15" s="131">
        <v>1.4999999999999999E-2</v>
      </c>
    </row>
    <row r="16" spans="1:13" ht="14.25" x14ac:dyDescent="0.45">
      <c r="A16" t="str">
        <f>A12</f>
        <v>Zentralkassenbeitrag/Liegenschaften/Verwaltung</v>
      </c>
      <c r="B16" s="118">
        <f>B12</f>
        <v>168269</v>
      </c>
      <c r="C16" s="118">
        <f t="shared" ref="C16:M16" si="2">C12</f>
        <v>496272</v>
      </c>
      <c r="D16" s="118">
        <f t="shared" si="2"/>
        <v>305055</v>
      </c>
      <c r="E16" s="118">
        <f>E12</f>
        <v>-74401</v>
      </c>
      <c r="F16" s="118">
        <f t="shared" si="2"/>
        <v>437939</v>
      </c>
      <c r="G16" s="118">
        <f t="shared" si="2"/>
        <v>180822</v>
      </c>
      <c r="H16" s="118">
        <f t="shared" si="2"/>
        <v>546205</v>
      </c>
      <c r="I16" s="118">
        <f t="shared" si="2"/>
        <v>438340</v>
      </c>
      <c r="J16" s="118">
        <f t="shared" si="2"/>
        <v>83093</v>
      </c>
      <c r="K16" s="118">
        <f t="shared" si="2"/>
        <v>-454</v>
      </c>
      <c r="L16" s="118">
        <f t="shared" si="2"/>
        <v>1113095</v>
      </c>
      <c r="M16" s="118">
        <f t="shared" si="2"/>
        <v>3694235</v>
      </c>
    </row>
    <row r="17" spans="1:13" ht="14.25" x14ac:dyDescent="0.45">
      <c r="A17" t="str">
        <f>A13</f>
        <v>Personal und Gemeindeleben</v>
      </c>
      <c r="B17" s="118">
        <f>(B12+B13)/100*(100-($B$15*100))-B16</f>
        <v>458380.12</v>
      </c>
      <c r="C17" s="118">
        <f t="shared" ref="C17:M17" si="3">(C12+C13)/100*(100-($B$15*100))-C16</f>
        <v>535259.39999999991</v>
      </c>
      <c r="D17" s="118">
        <f t="shared" si="3"/>
        <v>404968.45999999996</v>
      </c>
      <c r="E17" s="118">
        <f t="shared" si="3"/>
        <v>217250.625</v>
      </c>
      <c r="F17" s="118">
        <f t="shared" si="3"/>
        <v>656488.59000000008</v>
      </c>
      <c r="G17" s="118">
        <f t="shared" si="3"/>
        <v>314184.82499999995</v>
      </c>
      <c r="H17" s="118">
        <f t="shared" si="3"/>
        <v>893783.24500000011</v>
      </c>
      <c r="I17" s="118">
        <f t="shared" si="3"/>
        <v>713724.86499999999</v>
      </c>
      <c r="J17" s="118">
        <f t="shared" si="3"/>
        <v>94741.85500000001</v>
      </c>
      <c r="K17" s="118">
        <f t="shared" si="3"/>
        <v>635905.07999999996</v>
      </c>
      <c r="L17" s="118">
        <f t="shared" si="3"/>
        <v>1533250.3250000002</v>
      </c>
      <c r="M17" s="118">
        <f t="shared" si="3"/>
        <v>6457937.3900000006</v>
      </c>
    </row>
    <row r="18" spans="1:13" ht="14.25" x14ac:dyDescent="0.45">
      <c r="A18" t="s">
        <v>85</v>
      </c>
      <c r="B18" s="34">
        <f>(B13-B17)/B13</f>
        <v>2.0394124674358825E-2</v>
      </c>
      <c r="C18" s="34">
        <f t="shared" ref="C18:M18" si="4">(C13-C17)/C13</f>
        <v>2.8510911704491174E-2</v>
      </c>
      <c r="D18" s="34">
        <f t="shared" si="4"/>
        <v>2.6005373020893299E-2</v>
      </c>
      <c r="E18" s="34">
        <f t="shared" si="4"/>
        <v>9.9139345382953711E-3</v>
      </c>
      <c r="F18" s="34">
        <f t="shared" si="4"/>
        <v>2.4758651425006002E-2</v>
      </c>
      <c r="G18" s="34">
        <f t="shared" si="4"/>
        <v>2.3430637536017151E-2</v>
      </c>
      <c r="H18" s="34">
        <f t="shared" si="4"/>
        <v>2.3947218120981148E-2</v>
      </c>
      <c r="I18" s="34">
        <f t="shared" si="4"/>
        <v>2.3991356122028979E-2</v>
      </c>
      <c r="J18" s="34">
        <f t="shared" si="4"/>
        <v>2.7790097485890092E-2</v>
      </c>
      <c r="K18" s="34">
        <f t="shared" si="4"/>
        <v>1.4989451378755979E-2</v>
      </c>
      <c r="L18" s="34">
        <f t="shared" si="4"/>
        <v>2.5610673318292913E-2</v>
      </c>
      <c r="M18" s="34">
        <f t="shared" si="4"/>
        <v>2.3380067777293928E-2</v>
      </c>
    </row>
    <row r="20" spans="1:13" ht="14.25" x14ac:dyDescent="0.45">
      <c r="B20" s="110"/>
    </row>
    <row r="21" spans="1:13" ht="14.25" x14ac:dyDescent="0.45">
      <c r="B21" s="129"/>
    </row>
  </sheetData>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zoomScale="85" zoomScaleNormal="85" workbookViewId="0">
      <selection activeCell="F31" sqref="F31"/>
    </sheetView>
  </sheetViews>
  <sheetFormatPr baseColWidth="10" defaultRowHeight="14.4" x14ac:dyDescent="0.3"/>
  <cols>
    <col min="1" max="1" width="46.21875" customWidth="1"/>
    <col min="2" max="3" width="12.21875" bestFit="1" customWidth="1"/>
    <col min="4" max="6" width="11" bestFit="1" customWidth="1"/>
    <col min="7" max="7" width="12.21875" bestFit="1" customWidth="1"/>
    <col min="8" max="8" width="11" bestFit="1" customWidth="1"/>
    <col min="9" max="9" width="12.21875" hidden="1" customWidth="1"/>
    <col min="10" max="10" width="11" hidden="1" customWidth="1"/>
    <col min="11" max="12" width="12.21875" hidden="1" customWidth="1"/>
  </cols>
  <sheetData>
    <row r="1" spans="1:12" s="23" customFormat="1" ht="14.25" x14ac:dyDescent="0.45">
      <c r="A1" s="23" t="s">
        <v>0</v>
      </c>
      <c r="B1" s="23" t="str">
        <f>Basisdaten!C1</f>
        <v>Gemeinde 1</v>
      </c>
      <c r="C1" s="23" t="str">
        <f>Basisdaten!D1</f>
        <v>Gemeinde 2</v>
      </c>
      <c r="D1" s="23" t="str">
        <f>Basisdaten!E1</f>
        <v>Gemeinde 3</v>
      </c>
      <c r="E1" s="23" t="str">
        <f>Basisdaten!F1</f>
        <v>Gemeinde 4</v>
      </c>
      <c r="F1" s="23" t="str">
        <f>Basisdaten!G1</f>
        <v>Gemeinde 5</v>
      </c>
      <c r="G1" s="23" t="str">
        <f>Basisdaten!H1</f>
        <v>Gemeinde 6</v>
      </c>
      <c r="H1" s="23" t="str">
        <f>Basisdaten!I1</f>
        <v>Gemeinde 7</v>
      </c>
      <c r="I1" s="23" t="str">
        <f>Basisdaten!J1</f>
        <v>Gemeinde 8</v>
      </c>
      <c r="J1" s="23" t="str">
        <f>Basisdaten!K1</f>
        <v>Gemeinde 9</v>
      </c>
      <c r="K1" s="23" t="str">
        <f>Basisdaten!L1</f>
        <v>Gemeinde 10</v>
      </c>
      <c r="L1" s="23" t="str">
        <f>Basisdaten!M1</f>
        <v>Gemeinde 11</v>
      </c>
    </row>
    <row r="2" spans="1:12" ht="14.25" x14ac:dyDescent="0.45">
      <c r="A2" t="s">
        <v>159</v>
      </c>
      <c r="B2" s="110">
        <f>Basisdaten!C15</f>
        <v>2401</v>
      </c>
      <c r="C2" s="110">
        <f>Basisdaten!D15</f>
        <v>3033</v>
      </c>
      <c r="D2" s="110">
        <f>Basisdaten!E15</f>
        <v>2771</v>
      </c>
      <c r="E2" s="110">
        <f>Basisdaten!F15</f>
        <v>1268</v>
      </c>
      <c r="F2" s="110">
        <f>Basisdaten!G15</f>
        <v>4250</v>
      </c>
      <c r="G2" s="110">
        <f>Basisdaten!H15</f>
        <v>1582</v>
      </c>
      <c r="H2" s="110">
        <f>Basisdaten!I15</f>
        <v>4395</v>
      </c>
      <c r="I2" s="110">
        <f>Basisdaten!J15</f>
        <v>3588</v>
      </c>
      <c r="J2" s="110">
        <f>Basisdaten!K15</f>
        <v>612</v>
      </c>
      <c r="K2" s="110">
        <f>Basisdaten!L15</f>
        <v>3038</v>
      </c>
      <c r="L2" s="110">
        <f>Basisdaten!M15</f>
        <v>7188</v>
      </c>
    </row>
    <row r="3" spans="1:12" ht="14.25" x14ac:dyDescent="0.45">
      <c r="A3" t="s">
        <v>47</v>
      </c>
      <c r="B3" s="110">
        <f>Basisdaten!C99</f>
        <v>14</v>
      </c>
      <c r="C3" s="110">
        <f>Basisdaten!D99</f>
        <v>11</v>
      </c>
      <c r="D3" s="110">
        <f>Basisdaten!E99</f>
        <v>14</v>
      </c>
      <c r="E3" s="110">
        <f>Basisdaten!F99</f>
        <v>14</v>
      </c>
      <c r="F3" s="110">
        <f>Basisdaten!G99</f>
        <v>14</v>
      </c>
      <c r="G3" s="110">
        <f>Basisdaten!H99</f>
        <v>13</v>
      </c>
      <c r="H3" s="110">
        <f>Basisdaten!I99</f>
        <v>13</v>
      </c>
      <c r="I3" s="110">
        <f>Basisdaten!J99</f>
        <v>14</v>
      </c>
      <c r="J3" s="110">
        <f>Basisdaten!K99</f>
        <v>12</v>
      </c>
      <c r="K3" s="110">
        <f>Basisdaten!L99</f>
        <v>14</v>
      </c>
      <c r="L3" s="110">
        <f>Basisdaten!M99</f>
        <v>14</v>
      </c>
    </row>
    <row r="4" spans="1:12" ht="14.25" x14ac:dyDescent="0.45">
      <c r="A4" t="s">
        <v>160</v>
      </c>
      <c r="B4" s="110">
        <f>Basisdaten!C108</f>
        <v>1445200</v>
      </c>
      <c r="C4" s="110">
        <f>Basisdaten!D108</f>
        <v>482690</v>
      </c>
      <c r="D4" s="110">
        <f>Basisdaten!E108</f>
        <v>595981.19999999995</v>
      </c>
      <c r="E4" s="110">
        <f>Basisdaten!F108</f>
        <v>241459.45</v>
      </c>
      <c r="F4" s="110">
        <f>Basisdaten!G108</f>
        <v>186449.85</v>
      </c>
      <c r="G4" s="110">
        <f>Basisdaten!H108</f>
        <v>1174614.26</v>
      </c>
      <c r="H4" s="110">
        <f>Basisdaten!I108</f>
        <v>372746.78</v>
      </c>
      <c r="I4" s="110">
        <f>Basisdaten!J108</f>
        <v>227945.23</v>
      </c>
      <c r="J4" s="110">
        <f>Basisdaten!K108</f>
        <v>84541</v>
      </c>
      <c r="K4" s="110">
        <f>Basisdaten!L108</f>
        <v>1801191.85</v>
      </c>
      <c r="L4" s="110">
        <f>Basisdaten!M108</f>
        <v>471951</v>
      </c>
    </row>
    <row r="5" spans="1:12" x14ac:dyDescent="0.3">
      <c r="A5" t="s">
        <v>161</v>
      </c>
      <c r="B5" s="110">
        <f>Basisdaten!C107</f>
        <v>532800</v>
      </c>
      <c r="C5" s="110">
        <f>Basisdaten!D107</f>
        <v>3033174</v>
      </c>
      <c r="D5" s="110">
        <f>Basisdaten!E107</f>
        <v>771725.09</v>
      </c>
      <c r="E5" s="110">
        <f>Basisdaten!F107</f>
        <v>94794.76</v>
      </c>
      <c r="F5" s="110">
        <f>Basisdaten!G107</f>
        <v>682556.49</v>
      </c>
      <c r="G5" s="110">
        <f>Basisdaten!H107</f>
        <v>1554819.46</v>
      </c>
      <c r="H5" s="110">
        <f>Basisdaten!I107</f>
        <v>77800</v>
      </c>
      <c r="I5" s="110">
        <f>Basisdaten!J107</f>
        <v>1482714.2</v>
      </c>
      <c r="J5" s="110">
        <f>Basisdaten!K107</f>
        <v>188935</v>
      </c>
      <c r="K5" s="110">
        <f>Basisdaten!L107</f>
        <v>1427527.92</v>
      </c>
      <c r="L5" s="110">
        <f>Basisdaten!M107</f>
        <v>6028326</v>
      </c>
    </row>
    <row r="6" spans="1:12" x14ac:dyDescent="0.3">
      <c r="A6" t="s">
        <v>167</v>
      </c>
      <c r="B6" s="109">
        <f>B5-B4</f>
        <v>-912400</v>
      </c>
      <c r="C6" s="109">
        <f t="shared" ref="C6:L6" si="0">C5-C4</f>
        <v>2550484</v>
      </c>
      <c r="D6" s="109">
        <f t="shared" si="0"/>
        <v>175743.89</v>
      </c>
      <c r="E6" s="109">
        <f t="shared" si="0"/>
        <v>-146664.69</v>
      </c>
      <c r="F6" s="109">
        <f t="shared" si="0"/>
        <v>496106.64</v>
      </c>
      <c r="G6" s="109">
        <f t="shared" si="0"/>
        <v>380205.19999999995</v>
      </c>
      <c r="H6" s="109">
        <f t="shared" si="0"/>
        <v>-294946.78000000003</v>
      </c>
      <c r="I6" s="109">
        <f t="shared" si="0"/>
        <v>1254768.97</v>
      </c>
      <c r="J6" s="109">
        <f t="shared" si="0"/>
        <v>104394</v>
      </c>
      <c r="K6" s="109">
        <f t="shared" si="0"/>
        <v>-373663.93000000017</v>
      </c>
      <c r="L6" s="109">
        <f t="shared" si="0"/>
        <v>5556375</v>
      </c>
    </row>
    <row r="7" spans="1:12" s="23" customFormat="1" ht="14.25" x14ac:dyDescent="0.45">
      <c r="A7" s="23" t="s">
        <v>162</v>
      </c>
      <c r="B7" s="111">
        <f>IF(((B4-B5)/B2)&lt;=0,"",(B4-B5)/B2)</f>
        <v>380.00832986255728</v>
      </c>
      <c r="C7" s="111" t="str">
        <f t="shared" ref="C7:L7" si="1">IF(((C4-C5)/C2)&lt;=0,"",(C4-C5)/C2)</f>
        <v/>
      </c>
      <c r="D7" s="111" t="str">
        <f t="shared" si="1"/>
        <v/>
      </c>
      <c r="E7" s="111">
        <f t="shared" si="1"/>
        <v>115.66615930599369</v>
      </c>
      <c r="F7" s="111" t="str">
        <f t="shared" si="1"/>
        <v/>
      </c>
      <c r="G7" s="111" t="str">
        <f t="shared" si="1"/>
        <v/>
      </c>
      <c r="H7" s="111">
        <f t="shared" si="1"/>
        <v>67.109620022753134</v>
      </c>
      <c r="I7" s="111" t="str">
        <f t="shared" si="1"/>
        <v/>
      </c>
      <c r="J7" s="111" t="str">
        <f t="shared" si="1"/>
        <v/>
      </c>
      <c r="K7" s="111">
        <f t="shared" si="1"/>
        <v>122.99668531928906</v>
      </c>
      <c r="L7" s="111" t="str">
        <f t="shared" si="1"/>
        <v/>
      </c>
    </row>
    <row r="8" spans="1:12" x14ac:dyDescent="0.3">
      <c r="A8" s="23" t="s">
        <v>166</v>
      </c>
      <c r="B8" s="111">
        <f t="shared" ref="B8:L8" si="2">IF(B7="","",IF((B7-200)&lt;=0,"",B7-200))</f>
        <v>180.00832986255728</v>
      </c>
      <c r="C8" s="111" t="str">
        <f t="shared" si="2"/>
        <v/>
      </c>
      <c r="D8" s="111" t="str">
        <f t="shared" si="2"/>
        <v/>
      </c>
      <c r="E8" s="111" t="str">
        <f t="shared" si="2"/>
        <v/>
      </c>
      <c r="F8" s="111" t="str">
        <f t="shared" si="2"/>
        <v/>
      </c>
      <c r="G8" s="111" t="str">
        <f t="shared" si="2"/>
        <v/>
      </c>
      <c r="H8" s="111" t="str">
        <f t="shared" si="2"/>
        <v/>
      </c>
      <c r="I8" s="111" t="str">
        <f t="shared" si="2"/>
        <v/>
      </c>
      <c r="J8" s="111" t="str">
        <f t="shared" si="2"/>
        <v/>
      </c>
      <c r="K8" s="111" t="str">
        <f t="shared" si="2"/>
        <v/>
      </c>
      <c r="L8" s="111" t="str">
        <f t="shared" si="2"/>
        <v/>
      </c>
    </row>
    <row r="9" spans="1:12" ht="14.25" x14ac:dyDescent="0.45">
      <c r="A9" s="23" t="s">
        <v>164</v>
      </c>
      <c r="B9" s="108" t="str">
        <f>IF(B7&lt;&gt;"",(IF(B2&lt;2000,"Ja","")),"")</f>
        <v/>
      </c>
      <c r="C9" s="108" t="str">
        <f t="shared" ref="C9:L9" si="3">IF(C7&lt;&gt;"",(IF(C2&lt;2000,"Ja","")),"")</f>
        <v/>
      </c>
      <c r="D9" s="108" t="str">
        <f t="shared" si="3"/>
        <v/>
      </c>
      <c r="E9" s="108" t="str">
        <f t="shared" si="3"/>
        <v>Ja</v>
      </c>
      <c r="F9" s="108" t="str">
        <f t="shared" si="3"/>
        <v/>
      </c>
      <c r="G9" s="108" t="str">
        <f t="shared" si="3"/>
        <v/>
      </c>
      <c r="H9" s="108" t="str">
        <f t="shared" si="3"/>
        <v/>
      </c>
      <c r="I9" s="108" t="str">
        <f t="shared" si="3"/>
        <v/>
      </c>
      <c r="J9" s="108" t="str">
        <f t="shared" si="3"/>
        <v/>
      </c>
      <c r="K9" s="108" t="str">
        <f t="shared" si="3"/>
        <v/>
      </c>
      <c r="L9" s="108" t="str">
        <f t="shared" si="3"/>
        <v/>
      </c>
    </row>
    <row r="10" spans="1:12" ht="14.25" x14ac:dyDescent="0.45">
      <c r="A10" s="23" t="s">
        <v>163</v>
      </c>
      <c r="B10" s="108" t="str">
        <f>IF(B7&lt;&gt;"",(IF(AND(B2&gt;2000,B2&lt;3000),"Ja","")),"")</f>
        <v>Ja</v>
      </c>
      <c r="C10" s="108" t="str">
        <f t="shared" ref="C10:L10" si="4">IF(C7&lt;&gt;"",(IF(AND(C2&gt;2000,C2&lt;3000),"Ja","")),"")</f>
        <v/>
      </c>
      <c r="D10" s="108" t="str">
        <f t="shared" si="4"/>
        <v/>
      </c>
      <c r="E10" s="108" t="str">
        <f t="shared" si="4"/>
        <v/>
      </c>
      <c r="F10" s="108" t="str">
        <f t="shared" si="4"/>
        <v/>
      </c>
      <c r="G10" s="108" t="str">
        <f t="shared" si="4"/>
        <v/>
      </c>
      <c r="H10" s="108" t="str">
        <f t="shared" si="4"/>
        <v/>
      </c>
      <c r="I10" s="108" t="str">
        <f t="shared" si="4"/>
        <v/>
      </c>
      <c r="J10" s="108" t="str">
        <f t="shared" si="4"/>
        <v/>
      </c>
      <c r="K10" s="108" t="str">
        <f t="shared" si="4"/>
        <v/>
      </c>
      <c r="L10" s="108" t="str">
        <f t="shared" si="4"/>
        <v/>
      </c>
    </row>
    <row r="11" spans="1:12" ht="14.25" x14ac:dyDescent="0.45">
      <c r="A11" s="23" t="s">
        <v>165</v>
      </c>
      <c r="B11" s="109">
        <f>IF(B3=14,IF(B10="Ja",B8*B2*((3000-B2)/2000),IF(B9="Ja",IF(B7&lt;200,"",(B8*(3000-B2))),"")),"")</f>
        <v>129443.9</v>
      </c>
      <c r="C11" s="109" t="str">
        <f t="shared" ref="C11:L11" si="5">IF(C3=14,IF(C10="Ja",C8*C2*((3000-C2)/2000),IF(C9="Ja",IF(C7&lt;200,"",(C8*(3000-C2))),"")),"")</f>
        <v/>
      </c>
      <c r="D11" s="109" t="str">
        <f t="shared" si="5"/>
        <v/>
      </c>
      <c r="E11" s="109" t="str">
        <f t="shared" si="5"/>
        <v/>
      </c>
      <c r="F11" s="109" t="str">
        <f t="shared" si="5"/>
        <v/>
      </c>
      <c r="G11" s="109" t="str">
        <f t="shared" si="5"/>
        <v/>
      </c>
      <c r="H11" s="109" t="str">
        <f t="shared" si="5"/>
        <v/>
      </c>
      <c r="I11" s="109" t="str">
        <f t="shared" si="5"/>
        <v/>
      </c>
      <c r="J11" s="109" t="str">
        <f t="shared" si="5"/>
        <v/>
      </c>
      <c r="K11" s="109" t="str">
        <f t="shared" si="5"/>
        <v/>
      </c>
      <c r="L11" s="109" t="str">
        <f t="shared" si="5"/>
        <v/>
      </c>
    </row>
    <row r="12" spans="1:12" ht="14.25" x14ac:dyDescent="0.45">
      <c r="A12" s="23"/>
      <c r="B12" s="109"/>
      <c r="C12" s="109"/>
      <c r="D12" s="109"/>
      <c r="E12" s="109"/>
      <c r="F12" s="109"/>
      <c r="G12" s="109"/>
      <c r="H12" s="109"/>
      <c r="I12" s="109"/>
      <c r="J12" s="109"/>
      <c r="K12" s="109"/>
      <c r="L12" s="109"/>
    </row>
    <row r="13" spans="1:12" ht="14.25" x14ac:dyDescent="0.45">
      <c r="B13" s="109"/>
      <c r="C13" s="109"/>
      <c r="D13" s="109"/>
      <c r="E13" s="109"/>
      <c r="F13" s="109"/>
      <c r="G13" s="109"/>
      <c r="H13" s="109"/>
      <c r="I13" s="109"/>
      <c r="J13" s="109"/>
      <c r="K13" s="109"/>
      <c r="L13" s="109"/>
    </row>
    <row r="14" spans="1:12" ht="14.25" hidden="1" x14ac:dyDescent="0.45"/>
    <row r="15" spans="1:12" ht="14.25" hidden="1" x14ac:dyDescent="0.45"/>
    <row r="16" spans="1:12" ht="14.25" hidden="1" x14ac:dyDescent="0.45"/>
    <row r="17" spans="1:2" ht="14.25" hidden="1" x14ac:dyDescent="0.45"/>
    <row r="18" spans="1:2" ht="14.25" hidden="1" x14ac:dyDescent="0.45"/>
    <row r="19" spans="1:2" ht="14.25" hidden="1" x14ac:dyDescent="0.45"/>
    <row r="20" spans="1:2" ht="14.25" hidden="1" x14ac:dyDescent="0.45"/>
    <row r="21" spans="1:2" ht="14.25" hidden="1" x14ac:dyDescent="0.45"/>
    <row r="22" spans="1:2" x14ac:dyDescent="0.3">
      <c r="A22" t="s">
        <v>187</v>
      </c>
      <c r="B22" s="114">
        <f>SUM(B5:L5)</f>
        <v>15875172.92</v>
      </c>
    </row>
    <row r="23" spans="1:2" ht="14.25" x14ac:dyDescent="0.45">
      <c r="A23" t="s">
        <v>188</v>
      </c>
      <c r="B23" s="114">
        <f>SUM(B4:L4)</f>
        <v>7084770.620000001</v>
      </c>
    </row>
    <row r="24" spans="1:2" ht="15" thickBot="1" x14ac:dyDescent="0.35">
      <c r="A24" t="s">
        <v>189</v>
      </c>
      <c r="B24" s="114">
        <f>B22-B23-B11</f>
        <v>8660958.3999999985</v>
      </c>
    </row>
    <row r="25" spans="1:2" ht="15" thickBot="1" x14ac:dyDescent="0.35">
      <c r="A25" t="s">
        <v>167</v>
      </c>
      <c r="B25" s="115">
        <f>B22-B23</f>
        <v>8790402.2999999989</v>
      </c>
    </row>
  </sheetData>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Vertical="1" syncRef="D2" transitionEvaluation="1">
    <pageSetUpPr fitToPage="1"/>
  </sheetPr>
  <dimension ref="A1:AG16"/>
  <sheetViews>
    <sheetView showGridLines="0" zoomScale="115" zoomScaleNormal="115" workbookViewId="0">
      <pane xSplit="3" ySplit="1" topLeftCell="D2" activePane="bottomRight" state="frozen"/>
      <selection activeCell="P22" sqref="P22"/>
      <selection pane="topRight" activeCell="P22" sqref="P22"/>
      <selection pane="bottomLeft" activeCell="P22" sqref="P22"/>
      <selection pane="bottomRight" activeCell="M10" sqref="M10"/>
    </sheetView>
  </sheetViews>
  <sheetFormatPr baseColWidth="10" defaultColWidth="10.5546875" defaultRowHeight="10.199999999999999" x14ac:dyDescent="0.2"/>
  <cols>
    <col min="1" max="1" width="4.5546875" style="68" bestFit="1" customWidth="1"/>
    <col min="2" max="2" width="9.44140625" style="69" bestFit="1" customWidth="1"/>
    <col min="3" max="3" width="4.5546875" style="69" bestFit="1" customWidth="1"/>
    <col min="4" max="4" width="4.44140625" style="73" bestFit="1" customWidth="1"/>
    <col min="5" max="5" width="9.109375" style="74" bestFit="1" customWidth="1"/>
    <col min="6" max="6" width="4.109375" style="59" bestFit="1" customWidth="1"/>
    <col min="7" max="7" width="4.109375" style="60" bestFit="1" customWidth="1"/>
    <col min="8" max="8" width="2.88671875" style="60" bestFit="1" customWidth="1"/>
    <col min="9" max="9" width="5.33203125" style="71" bestFit="1" customWidth="1"/>
    <col min="10" max="10" width="4.44140625" style="62" bestFit="1" customWidth="1"/>
    <col min="11" max="11" width="2.5546875" style="72" bestFit="1" customWidth="1"/>
    <col min="12" max="12" width="8" style="72" bestFit="1" customWidth="1"/>
    <col min="13" max="13" width="4.5546875" style="72" bestFit="1" customWidth="1"/>
    <col min="14" max="14" width="6.77734375" style="63" bestFit="1" customWidth="1"/>
    <col min="15" max="15" width="3.5546875" style="63" bestFit="1" customWidth="1"/>
    <col min="16" max="18" width="6.77734375" style="63" bestFit="1" customWidth="1"/>
    <col min="19" max="19" width="7.21875" style="72" bestFit="1" customWidth="1"/>
    <col min="20" max="20" width="7.77734375" style="63" bestFit="1" customWidth="1"/>
    <col min="21" max="21" width="4.5546875" style="63" bestFit="1" customWidth="1"/>
    <col min="22" max="22" width="7.77734375" style="63" bestFit="1" customWidth="1"/>
    <col min="23" max="23" width="4.5546875" style="63" bestFit="1" customWidth="1"/>
    <col min="24" max="24" width="4.21875" style="65" customWidth="1"/>
    <col min="25" max="25" width="4.44140625" style="72" bestFit="1" customWidth="1"/>
    <col min="26" max="28" width="9.109375" style="72" bestFit="1" customWidth="1"/>
    <col min="29" max="29" width="9.88671875" style="72" bestFit="1" customWidth="1"/>
    <col min="30" max="30" width="5.21875" style="72" bestFit="1" customWidth="1"/>
    <col min="31" max="31" width="4.44140625" style="72" bestFit="1" customWidth="1"/>
    <col min="32" max="32" width="4.88671875" style="72" bestFit="1" customWidth="1"/>
    <col min="33" max="33" width="3.5546875" style="63" bestFit="1" customWidth="1"/>
    <col min="34" max="16384" width="10.5546875" style="65"/>
  </cols>
  <sheetData>
    <row r="1" spans="1:33" s="105" customFormat="1" ht="164.55" customHeight="1" x14ac:dyDescent="0.3">
      <c r="A1" s="97" t="s">
        <v>118</v>
      </c>
      <c r="B1" s="98" t="s">
        <v>77</v>
      </c>
      <c r="C1" s="98" t="s">
        <v>119</v>
      </c>
      <c r="D1" s="99" t="s">
        <v>120</v>
      </c>
      <c r="E1" s="100" t="s">
        <v>121</v>
      </c>
      <c r="F1" s="101" t="s">
        <v>122</v>
      </c>
      <c r="G1" s="102" t="s">
        <v>123</v>
      </c>
      <c r="H1" s="102" t="s">
        <v>124</v>
      </c>
      <c r="I1" s="103" t="s">
        <v>125</v>
      </c>
      <c r="J1" s="104" t="s">
        <v>126</v>
      </c>
      <c r="K1" s="105" t="s">
        <v>127</v>
      </c>
      <c r="L1" s="105" t="s">
        <v>128</v>
      </c>
      <c r="M1" s="105" t="s">
        <v>129</v>
      </c>
      <c r="N1" s="106" t="s">
        <v>130</v>
      </c>
      <c r="O1" s="106" t="s">
        <v>131</v>
      </c>
      <c r="P1" s="106" t="s">
        <v>132</v>
      </c>
      <c r="Q1" s="106" t="s">
        <v>133</v>
      </c>
      <c r="R1" s="106" t="s">
        <v>134</v>
      </c>
      <c r="S1" s="105" t="s">
        <v>135</v>
      </c>
      <c r="T1" s="106" t="s">
        <v>136</v>
      </c>
      <c r="U1" s="106" t="s">
        <v>137</v>
      </c>
      <c r="V1" s="106" t="s">
        <v>138</v>
      </c>
      <c r="W1" s="106" t="s">
        <v>139</v>
      </c>
      <c r="Y1" s="107" t="s">
        <v>140</v>
      </c>
      <c r="Z1" s="107" t="s">
        <v>141</v>
      </c>
      <c r="AA1" s="107" t="s">
        <v>142</v>
      </c>
      <c r="AB1" s="107" t="s">
        <v>143</v>
      </c>
      <c r="AC1" s="107" t="s">
        <v>144</v>
      </c>
      <c r="AD1" s="107" t="s">
        <v>145</v>
      </c>
      <c r="AE1" s="107" t="s">
        <v>146</v>
      </c>
      <c r="AF1" s="107" t="s">
        <v>147</v>
      </c>
      <c r="AG1" s="106" t="s">
        <v>148</v>
      </c>
    </row>
    <row r="2" spans="1:33" x14ac:dyDescent="0.3">
      <c r="A2" s="55">
        <v>1315</v>
      </c>
      <c r="B2" s="56" t="s">
        <v>210</v>
      </c>
      <c r="C2" s="56" t="s">
        <v>222</v>
      </c>
      <c r="D2" s="57">
        <v>14</v>
      </c>
      <c r="E2" s="58">
        <v>704607</v>
      </c>
      <c r="F2" s="59">
        <v>2471</v>
      </c>
      <c r="G2" s="60">
        <v>2401</v>
      </c>
      <c r="H2" s="60">
        <f t="shared" ref="H2:H12" si="0">G2-F2</f>
        <v>-70</v>
      </c>
      <c r="I2" s="61">
        <f t="shared" ref="I2:I12" si="1">H2/F2</f>
        <v>-2.8328611898016998E-2</v>
      </c>
      <c r="J2" s="62">
        <f t="shared" ref="J2:J12" si="2">(E2/D2)/F2</f>
        <v>20.36789616696537</v>
      </c>
      <c r="K2" s="62"/>
      <c r="L2" s="62">
        <f t="shared" ref="L2:L12" si="3">F2*J2</f>
        <v>50329.071428571428</v>
      </c>
      <c r="M2" s="62"/>
      <c r="N2" s="63">
        <v>166471.9</v>
      </c>
      <c r="O2" s="63">
        <v>0</v>
      </c>
      <c r="P2" s="63">
        <v>180000</v>
      </c>
      <c r="Q2" s="63">
        <v>186937.09999999998</v>
      </c>
      <c r="R2" s="63">
        <v>81878.770000000019</v>
      </c>
      <c r="S2" s="64">
        <f t="shared" ref="S2:S12" si="4">N2+O2-P2-Q2-R2</f>
        <v>-282343.96999999997</v>
      </c>
      <c r="T2" s="63">
        <f t="shared" ref="T2:T12" si="5">E2-N2-O2</f>
        <v>538135.1</v>
      </c>
      <c r="U2" s="63">
        <f t="shared" ref="U2:U12" si="6">T2/G2</f>
        <v>224.12957101207829</v>
      </c>
      <c r="V2" s="63">
        <f t="shared" ref="V2:V12" si="7">E2-N2-O2+P2</f>
        <v>718135.1</v>
      </c>
      <c r="W2" s="63">
        <f t="shared" ref="W2:W12" si="8">V2/G2</f>
        <v>299.09833402748853</v>
      </c>
      <c r="Y2" s="66">
        <f>Fusions.Simulation!$C$2</f>
        <v>13</v>
      </c>
      <c r="Z2" s="66">
        <f t="shared" ref="Z2:Z12" si="9">E2/D2*Y2</f>
        <v>654277.92857142852</v>
      </c>
      <c r="AA2" s="66">
        <f>E2/D2*3.2</f>
        <v>161053.02857142859</v>
      </c>
      <c r="AB2" s="66">
        <f>Z2/Y2*3.2</f>
        <v>161053.02857142859</v>
      </c>
      <c r="AC2" s="66">
        <f t="shared" ref="AC2:AC12" si="10">SUBTOTAL(9,Z:Z)</f>
        <v>11460755.734848484</v>
      </c>
      <c r="AD2" s="67">
        <f t="shared" ref="AD2:AD12" si="11">SUBTOTAL(9,G:G)</f>
        <v>34126</v>
      </c>
      <c r="AE2" s="66">
        <f t="shared" ref="AE2:AE12" si="12">AC2/Y2/AD2</f>
        <v>25.833575426019603</v>
      </c>
      <c r="AF2" s="66">
        <f t="shared" ref="AF2:AF12" si="13">AE2-46.65</f>
        <v>-20.816424573980395</v>
      </c>
      <c r="AG2" s="63">
        <f t="shared" ref="AG2:AG12" si="14">IF(AD2*AF2&lt;0,0,AD2*AF2)</f>
        <v>0</v>
      </c>
    </row>
    <row r="3" spans="1:33" x14ac:dyDescent="0.3">
      <c r="A3" s="55">
        <v>1417</v>
      </c>
      <c r="B3" s="56" t="s">
        <v>211</v>
      </c>
      <c r="C3" s="56" t="s">
        <v>222</v>
      </c>
      <c r="D3" s="57">
        <v>11</v>
      </c>
      <c r="E3" s="58">
        <v>1265879</v>
      </c>
      <c r="F3" s="59">
        <v>3046</v>
      </c>
      <c r="G3" s="60">
        <v>3033</v>
      </c>
      <c r="H3" s="60">
        <f t="shared" si="0"/>
        <v>-13</v>
      </c>
      <c r="I3" s="61">
        <f t="shared" si="1"/>
        <v>-4.2678923177938283E-3</v>
      </c>
      <c r="J3" s="62">
        <f t="shared" si="2"/>
        <v>37.780666149346388</v>
      </c>
      <c r="K3" s="62"/>
      <c r="L3" s="62">
        <f t="shared" si="3"/>
        <v>115079.9090909091</v>
      </c>
      <c r="M3" s="62"/>
      <c r="N3" s="63">
        <v>278613.2</v>
      </c>
      <c r="O3" s="63">
        <v>0</v>
      </c>
      <c r="P3" s="63">
        <v>0</v>
      </c>
      <c r="Q3" s="63">
        <v>353043.19999999995</v>
      </c>
      <c r="R3" s="63">
        <v>0</v>
      </c>
      <c r="S3" s="64">
        <f t="shared" si="4"/>
        <v>-74429.999999999942</v>
      </c>
      <c r="T3" s="63">
        <f t="shared" si="5"/>
        <v>987265.8</v>
      </c>
      <c r="U3" s="63">
        <f t="shared" si="6"/>
        <v>325.50801186943625</v>
      </c>
      <c r="V3" s="63">
        <f t="shared" si="7"/>
        <v>987265.8</v>
      </c>
      <c r="W3" s="63">
        <f t="shared" si="8"/>
        <v>325.50801186943625</v>
      </c>
      <c r="Y3" s="66">
        <f>Fusions.Simulation!$C$2</f>
        <v>13</v>
      </c>
      <c r="Z3" s="66">
        <f t="shared" si="9"/>
        <v>1496038.8181818181</v>
      </c>
      <c r="AA3" s="66">
        <f t="shared" ref="AA3:AA12" si="15">E3/D3*3.2</f>
        <v>368255.70909090911</v>
      </c>
      <c r="AB3" s="66">
        <f t="shared" ref="AB3:AB12" si="16">Z3/Y3*3.2</f>
        <v>368255.70909090911</v>
      </c>
      <c r="AC3" s="66">
        <f t="shared" si="10"/>
        <v>11460755.734848484</v>
      </c>
      <c r="AD3" s="67">
        <f t="shared" si="11"/>
        <v>34126</v>
      </c>
      <c r="AE3" s="66">
        <f t="shared" si="12"/>
        <v>25.833575426019603</v>
      </c>
      <c r="AF3" s="66">
        <f t="shared" si="13"/>
        <v>-20.816424573980395</v>
      </c>
      <c r="AG3" s="63">
        <f t="shared" si="14"/>
        <v>0</v>
      </c>
    </row>
    <row r="4" spans="1:33" x14ac:dyDescent="0.3">
      <c r="A4" s="55">
        <v>1517</v>
      </c>
      <c r="B4" s="56" t="s">
        <v>212</v>
      </c>
      <c r="C4" s="56" t="s">
        <v>222</v>
      </c>
      <c r="D4" s="57">
        <v>14</v>
      </c>
      <c r="E4" s="58">
        <v>752797</v>
      </c>
      <c r="F4" s="59">
        <v>2815</v>
      </c>
      <c r="G4" s="60">
        <v>2771</v>
      </c>
      <c r="H4" s="60">
        <f t="shared" si="0"/>
        <v>-44</v>
      </c>
      <c r="I4" s="61">
        <f t="shared" si="1"/>
        <v>-1.5630550621669625E-2</v>
      </c>
      <c r="J4" s="62">
        <f t="shared" si="2"/>
        <v>19.101674701852321</v>
      </c>
      <c r="K4" s="62"/>
      <c r="L4" s="62">
        <f t="shared" si="3"/>
        <v>53771.214285714283</v>
      </c>
      <c r="M4" s="62"/>
      <c r="N4" s="63">
        <v>172836.9</v>
      </c>
      <c r="O4" s="63">
        <v>0</v>
      </c>
      <c r="P4" s="63">
        <v>0</v>
      </c>
      <c r="Q4" s="63">
        <v>182138.85000000003</v>
      </c>
      <c r="R4" s="63">
        <v>125119.55</v>
      </c>
      <c r="S4" s="64">
        <f t="shared" si="4"/>
        <v>-134421.50000000006</v>
      </c>
      <c r="T4" s="63">
        <f t="shared" si="5"/>
        <v>579960.1</v>
      </c>
      <c r="U4" s="63">
        <f t="shared" si="6"/>
        <v>209.29631901840489</v>
      </c>
      <c r="V4" s="63">
        <f t="shared" si="7"/>
        <v>579960.1</v>
      </c>
      <c r="W4" s="63">
        <f t="shared" si="8"/>
        <v>209.29631901840489</v>
      </c>
      <c r="Y4" s="66">
        <f>Fusions.Simulation!$C$2</f>
        <v>13</v>
      </c>
      <c r="Z4" s="66">
        <f t="shared" si="9"/>
        <v>699025.78571428568</v>
      </c>
      <c r="AA4" s="66">
        <f t="shared" si="15"/>
        <v>172067.88571428572</v>
      </c>
      <c r="AB4" s="66">
        <f t="shared" si="16"/>
        <v>172067.88571428572</v>
      </c>
      <c r="AC4" s="66">
        <f t="shared" si="10"/>
        <v>11460755.734848484</v>
      </c>
      <c r="AD4" s="67">
        <f t="shared" si="11"/>
        <v>34126</v>
      </c>
      <c r="AE4" s="66">
        <f t="shared" si="12"/>
        <v>25.833575426019603</v>
      </c>
      <c r="AF4" s="66">
        <f t="shared" si="13"/>
        <v>-20.816424573980395</v>
      </c>
      <c r="AG4" s="63">
        <f t="shared" si="14"/>
        <v>0</v>
      </c>
    </row>
    <row r="5" spans="1:33" x14ac:dyDescent="0.3">
      <c r="A5" s="55">
        <v>1616</v>
      </c>
      <c r="B5" s="56" t="s">
        <v>213</v>
      </c>
      <c r="C5" s="56" t="s">
        <v>222</v>
      </c>
      <c r="D5" s="57">
        <v>14</v>
      </c>
      <c r="E5" s="58">
        <v>233102</v>
      </c>
      <c r="F5" s="59">
        <v>1232</v>
      </c>
      <c r="G5" s="60">
        <v>1268</v>
      </c>
      <c r="H5" s="60">
        <f t="shared" si="0"/>
        <v>36</v>
      </c>
      <c r="I5" s="61">
        <f t="shared" si="1"/>
        <v>2.922077922077922E-2</v>
      </c>
      <c r="J5" s="62">
        <f t="shared" si="2"/>
        <v>13.514726345083488</v>
      </c>
      <c r="K5" s="62"/>
      <c r="L5" s="62">
        <f t="shared" si="3"/>
        <v>16650.142857142859</v>
      </c>
      <c r="M5" s="62"/>
      <c r="N5" s="63">
        <v>54109.4</v>
      </c>
      <c r="O5" s="63">
        <v>0</v>
      </c>
      <c r="P5" s="63">
        <v>160000</v>
      </c>
      <c r="Q5" s="63">
        <v>177442.55</v>
      </c>
      <c r="R5" s="63">
        <v>0</v>
      </c>
      <c r="S5" s="64">
        <f t="shared" si="4"/>
        <v>-283333.15000000002</v>
      </c>
      <c r="T5" s="63">
        <f t="shared" si="5"/>
        <v>178992.6</v>
      </c>
      <c r="U5" s="63">
        <f t="shared" si="6"/>
        <v>141.16135646687698</v>
      </c>
      <c r="V5" s="63">
        <f t="shared" si="7"/>
        <v>338992.6</v>
      </c>
      <c r="W5" s="63">
        <f t="shared" si="8"/>
        <v>267.34432176656151</v>
      </c>
      <c r="Y5" s="66">
        <f>Fusions.Simulation!$C$2</f>
        <v>13</v>
      </c>
      <c r="Z5" s="66">
        <f t="shared" si="9"/>
        <v>216451.85714285716</v>
      </c>
      <c r="AA5" s="66">
        <f t="shared" si="15"/>
        <v>53280.457142857151</v>
      </c>
      <c r="AB5" s="66">
        <f t="shared" si="16"/>
        <v>53280.457142857151</v>
      </c>
      <c r="AC5" s="66">
        <f t="shared" si="10"/>
        <v>11460755.734848484</v>
      </c>
      <c r="AD5" s="67">
        <f t="shared" si="11"/>
        <v>34126</v>
      </c>
      <c r="AE5" s="66">
        <f t="shared" si="12"/>
        <v>25.833575426019603</v>
      </c>
      <c r="AF5" s="66">
        <f t="shared" si="13"/>
        <v>-20.816424573980395</v>
      </c>
      <c r="AG5" s="63">
        <f t="shared" si="14"/>
        <v>0</v>
      </c>
    </row>
    <row r="6" spans="1:33" x14ac:dyDescent="0.3">
      <c r="A6" s="55">
        <v>1621</v>
      </c>
      <c r="B6" s="56" t="s">
        <v>214</v>
      </c>
      <c r="C6" s="56" t="s">
        <v>222</v>
      </c>
      <c r="D6" s="57">
        <v>14</v>
      </c>
      <c r="E6" s="58">
        <v>1562968</v>
      </c>
      <c r="F6" s="59">
        <v>4306</v>
      </c>
      <c r="G6" s="60">
        <v>4250</v>
      </c>
      <c r="H6" s="60">
        <f t="shared" si="0"/>
        <v>-56</v>
      </c>
      <c r="I6" s="61">
        <f t="shared" si="1"/>
        <v>-1.3005109150023224E-2</v>
      </c>
      <c r="J6" s="62">
        <f t="shared" si="2"/>
        <v>25.926746732134564</v>
      </c>
      <c r="K6" s="62"/>
      <c r="L6" s="62">
        <f t="shared" si="3"/>
        <v>111640.57142857143</v>
      </c>
      <c r="M6" s="62"/>
      <c r="N6" s="63">
        <v>324240.8</v>
      </c>
      <c r="O6" s="63">
        <v>0</v>
      </c>
      <c r="P6" s="63">
        <v>0</v>
      </c>
      <c r="Q6" s="63">
        <v>336126.34999999986</v>
      </c>
      <c r="R6" s="63">
        <v>0</v>
      </c>
      <c r="S6" s="64">
        <f t="shared" si="4"/>
        <v>-11885.549999999872</v>
      </c>
      <c r="T6" s="63">
        <f t="shared" si="5"/>
        <v>1238727.2</v>
      </c>
      <c r="U6" s="63">
        <f t="shared" si="6"/>
        <v>291.46522352941173</v>
      </c>
      <c r="V6" s="63">
        <f t="shared" si="7"/>
        <v>1238727.2</v>
      </c>
      <c r="W6" s="63">
        <f t="shared" si="8"/>
        <v>291.46522352941173</v>
      </c>
      <c r="Y6" s="66">
        <f>Fusions.Simulation!$C$2</f>
        <v>13</v>
      </c>
      <c r="Z6" s="66">
        <f t="shared" si="9"/>
        <v>1451327.4285714286</v>
      </c>
      <c r="AA6" s="66">
        <f t="shared" si="15"/>
        <v>357249.8285714286</v>
      </c>
      <c r="AB6" s="66">
        <f t="shared" si="16"/>
        <v>357249.8285714286</v>
      </c>
      <c r="AC6" s="66">
        <f t="shared" si="10"/>
        <v>11460755.734848484</v>
      </c>
      <c r="AD6" s="67">
        <f t="shared" si="11"/>
        <v>34126</v>
      </c>
      <c r="AE6" s="66">
        <f t="shared" si="12"/>
        <v>25.833575426019603</v>
      </c>
      <c r="AF6" s="66">
        <f t="shared" si="13"/>
        <v>-20.816424573980395</v>
      </c>
      <c r="AG6" s="63">
        <f t="shared" si="14"/>
        <v>0</v>
      </c>
    </row>
    <row r="7" spans="1:33" x14ac:dyDescent="0.3">
      <c r="A7" s="55">
        <v>1712</v>
      </c>
      <c r="B7" s="56" t="s">
        <v>215</v>
      </c>
      <c r="C7" s="56" t="s">
        <v>222</v>
      </c>
      <c r="D7" s="57">
        <v>13</v>
      </c>
      <c r="E7" s="58">
        <v>509725</v>
      </c>
      <c r="F7" s="59">
        <v>1618</v>
      </c>
      <c r="G7" s="60">
        <v>1582</v>
      </c>
      <c r="H7" s="60">
        <f t="shared" si="0"/>
        <v>-36</v>
      </c>
      <c r="I7" s="61">
        <f t="shared" si="1"/>
        <v>-2.2249690976514216E-2</v>
      </c>
      <c r="J7" s="62">
        <f t="shared" si="2"/>
        <v>24.233384044879717</v>
      </c>
      <c r="K7" s="62"/>
      <c r="L7" s="62">
        <f t="shared" si="3"/>
        <v>39209.615384615383</v>
      </c>
      <c r="M7" s="62"/>
      <c r="N7" s="63">
        <v>170082.3</v>
      </c>
      <c r="O7" s="63">
        <v>0</v>
      </c>
      <c r="P7" s="63">
        <v>0</v>
      </c>
      <c r="Q7" s="63">
        <v>189034.99999999994</v>
      </c>
      <c r="R7" s="63">
        <v>0</v>
      </c>
      <c r="S7" s="64">
        <f t="shared" si="4"/>
        <v>-18952.699999999953</v>
      </c>
      <c r="T7" s="63">
        <f t="shared" si="5"/>
        <v>339642.7</v>
      </c>
      <c r="U7" s="63">
        <f t="shared" si="6"/>
        <v>214.69197218710494</v>
      </c>
      <c r="V7" s="63">
        <f t="shared" si="7"/>
        <v>339642.7</v>
      </c>
      <c r="W7" s="63">
        <f t="shared" si="8"/>
        <v>214.69197218710494</v>
      </c>
      <c r="Y7" s="66">
        <f>Fusions.Simulation!$C$2</f>
        <v>13</v>
      </c>
      <c r="Z7" s="66">
        <f t="shared" si="9"/>
        <v>509725</v>
      </c>
      <c r="AA7" s="66">
        <f t="shared" si="15"/>
        <v>125470.76923076923</v>
      </c>
      <c r="AB7" s="66">
        <f t="shared" si="16"/>
        <v>125470.76923076923</v>
      </c>
      <c r="AC7" s="66">
        <f t="shared" si="10"/>
        <v>11460755.734848484</v>
      </c>
      <c r="AD7" s="67">
        <f t="shared" si="11"/>
        <v>34126</v>
      </c>
      <c r="AE7" s="66">
        <f t="shared" si="12"/>
        <v>25.833575426019603</v>
      </c>
      <c r="AF7" s="66">
        <f t="shared" si="13"/>
        <v>-20.816424573980395</v>
      </c>
      <c r="AG7" s="63">
        <f t="shared" si="14"/>
        <v>0</v>
      </c>
    </row>
    <row r="8" spans="1:33" x14ac:dyDescent="0.3">
      <c r="A8" s="55">
        <v>1718</v>
      </c>
      <c r="B8" s="56" t="s">
        <v>216</v>
      </c>
      <c r="C8" s="56" t="s">
        <v>222</v>
      </c>
      <c r="D8" s="57">
        <v>13</v>
      </c>
      <c r="E8" s="58">
        <v>1886055</v>
      </c>
      <c r="F8" s="59">
        <v>4482</v>
      </c>
      <c r="G8" s="60">
        <v>4395</v>
      </c>
      <c r="H8" s="60">
        <f t="shared" si="0"/>
        <v>-87</v>
      </c>
      <c r="I8" s="61">
        <f t="shared" si="1"/>
        <v>-1.9410977242302542E-2</v>
      </c>
      <c r="J8" s="62">
        <f t="shared" si="2"/>
        <v>32.36973535166306</v>
      </c>
      <c r="K8" s="62"/>
      <c r="L8" s="62">
        <f t="shared" si="3"/>
        <v>145081.15384615384</v>
      </c>
      <c r="M8" s="62"/>
      <c r="N8" s="63">
        <v>407383.9</v>
      </c>
      <c r="O8" s="63">
        <v>0</v>
      </c>
      <c r="P8" s="63">
        <v>0</v>
      </c>
      <c r="Q8" s="63">
        <v>366089.00000000012</v>
      </c>
      <c r="R8" s="63">
        <v>88670.639999999985</v>
      </c>
      <c r="S8" s="64">
        <f t="shared" si="4"/>
        <v>-47375.740000000078</v>
      </c>
      <c r="T8" s="63">
        <f t="shared" si="5"/>
        <v>1478671.1</v>
      </c>
      <c r="U8" s="63">
        <f t="shared" si="6"/>
        <v>336.44393629124005</v>
      </c>
      <c r="V8" s="63">
        <f t="shared" si="7"/>
        <v>1478671.1</v>
      </c>
      <c r="W8" s="63">
        <f t="shared" si="8"/>
        <v>336.44393629124005</v>
      </c>
      <c r="Y8" s="66">
        <f>Fusions.Simulation!$C$2</f>
        <v>13</v>
      </c>
      <c r="Z8" s="66">
        <f t="shared" si="9"/>
        <v>1886055</v>
      </c>
      <c r="AA8" s="66">
        <f t="shared" si="15"/>
        <v>464259.69230769231</v>
      </c>
      <c r="AB8" s="66">
        <f t="shared" si="16"/>
        <v>464259.69230769231</v>
      </c>
      <c r="AC8" s="66">
        <f t="shared" si="10"/>
        <v>11460755.734848484</v>
      </c>
      <c r="AD8" s="67">
        <f t="shared" si="11"/>
        <v>34126</v>
      </c>
      <c r="AE8" s="66">
        <f t="shared" si="12"/>
        <v>25.833575426019603</v>
      </c>
      <c r="AF8" s="66">
        <f t="shared" si="13"/>
        <v>-20.816424573980395</v>
      </c>
      <c r="AG8" s="63">
        <f t="shared" si="14"/>
        <v>0</v>
      </c>
    </row>
    <row r="9" spans="1:33" x14ac:dyDescent="0.3">
      <c r="A9" s="55">
        <v>2113</v>
      </c>
      <c r="B9" s="56" t="s">
        <v>217</v>
      </c>
      <c r="C9" s="56" t="s">
        <v>222</v>
      </c>
      <c r="D9" s="57">
        <v>14</v>
      </c>
      <c r="E9" s="58">
        <v>1111361</v>
      </c>
      <c r="F9" s="59">
        <v>3654</v>
      </c>
      <c r="G9" s="60">
        <v>3588</v>
      </c>
      <c r="H9" s="60">
        <f t="shared" si="0"/>
        <v>-66</v>
      </c>
      <c r="I9" s="61">
        <f t="shared" si="1"/>
        <v>-1.8062397372742199E-2</v>
      </c>
      <c r="J9" s="62">
        <f t="shared" si="2"/>
        <v>21.724939401047774</v>
      </c>
      <c r="K9" s="62"/>
      <c r="L9" s="62">
        <f t="shared" si="3"/>
        <v>79382.928571428565</v>
      </c>
      <c r="M9" s="62"/>
      <c r="N9" s="63">
        <v>275700.2</v>
      </c>
      <c r="O9" s="63">
        <v>0</v>
      </c>
      <c r="P9" s="63">
        <v>0</v>
      </c>
      <c r="Q9" s="63">
        <v>360439.42999999993</v>
      </c>
      <c r="R9" s="63">
        <v>0</v>
      </c>
      <c r="S9" s="64">
        <f t="shared" si="4"/>
        <v>-84739.229999999923</v>
      </c>
      <c r="T9" s="63">
        <f t="shared" si="5"/>
        <v>835660.80000000005</v>
      </c>
      <c r="U9" s="63">
        <f t="shared" si="6"/>
        <v>232.90434782608696</v>
      </c>
      <c r="V9" s="63">
        <f t="shared" si="7"/>
        <v>835660.80000000005</v>
      </c>
      <c r="W9" s="63">
        <f t="shared" si="8"/>
        <v>232.90434782608696</v>
      </c>
      <c r="Y9" s="66">
        <f>Fusions.Simulation!$C$2</f>
        <v>13</v>
      </c>
      <c r="Z9" s="66">
        <f t="shared" si="9"/>
        <v>1031978.0714285714</v>
      </c>
      <c r="AA9" s="66">
        <f t="shared" si="15"/>
        <v>254025.37142857141</v>
      </c>
      <c r="AB9" s="66">
        <f t="shared" si="16"/>
        <v>254025.37142857141</v>
      </c>
      <c r="AC9" s="66">
        <f t="shared" si="10"/>
        <v>11460755.734848484</v>
      </c>
      <c r="AD9" s="67">
        <f t="shared" si="11"/>
        <v>34126</v>
      </c>
      <c r="AE9" s="66">
        <f t="shared" si="12"/>
        <v>25.833575426019603</v>
      </c>
      <c r="AF9" s="66">
        <f t="shared" si="13"/>
        <v>-20.816424573980395</v>
      </c>
      <c r="AG9" s="63">
        <f t="shared" si="14"/>
        <v>0</v>
      </c>
    </row>
    <row r="10" spans="1:33" x14ac:dyDescent="0.3">
      <c r="A10" s="55">
        <v>2119</v>
      </c>
      <c r="B10" s="56" t="s">
        <v>218</v>
      </c>
      <c r="C10" s="56" t="s">
        <v>222</v>
      </c>
      <c r="D10" s="57">
        <v>12</v>
      </c>
      <c r="E10" s="58">
        <v>194765</v>
      </c>
      <c r="F10" s="59">
        <v>594</v>
      </c>
      <c r="G10" s="60">
        <v>612</v>
      </c>
      <c r="H10" s="60">
        <f t="shared" si="0"/>
        <v>18</v>
      </c>
      <c r="I10" s="61">
        <f t="shared" si="1"/>
        <v>3.0303030303030304E-2</v>
      </c>
      <c r="J10" s="62">
        <f t="shared" si="2"/>
        <v>27.323933782267115</v>
      </c>
      <c r="K10" s="62"/>
      <c r="L10" s="62">
        <f t="shared" si="3"/>
        <v>16230.416666666666</v>
      </c>
      <c r="M10" s="62"/>
      <c r="N10" s="63">
        <v>53493</v>
      </c>
      <c r="O10" s="63">
        <v>0</v>
      </c>
      <c r="P10" s="63">
        <v>0</v>
      </c>
      <c r="Q10" s="63">
        <v>148114.91</v>
      </c>
      <c r="R10" s="63">
        <v>0</v>
      </c>
      <c r="S10" s="64">
        <f t="shared" si="4"/>
        <v>-94621.91</v>
      </c>
      <c r="T10" s="63">
        <f t="shared" si="5"/>
        <v>141272</v>
      </c>
      <c r="U10" s="63">
        <f t="shared" si="6"/>
        <v>230.83660130718954</v>
      </c>
      <c r="V10" s="63">
        <f t="shared" si="7"/>
        <v>141272</v>
      </c>
      <c r="W10" s="63">
        <f t="shared" si="8"/>
        <v>230.83660130718954</v>
      </c>
      <c r="Y10" s="66">
        <f>Fusions.Simulation!$C$2</f>
        <v>13</v>
      </c>
      <c r="Z10" s="66">
        <f t="shared" si="9"/>
        <v>210995.41666666666</v>
      </c>
      <c r="AA10" s="66">
        <f t="shared" si="15"/>
        <v>51937.333333333336</v>
      </c>
      <c r="AB10" s="66">
        <f t="shared" si="16"/>
        <v>51937.333333333336</v>
      </c>
      <c r="AC10" s="66">
        <f t="shared" si="10"/>
        <v>11460755.734848484</v>
      </c>
      <c r="AD10" s="67">
        <f t="shared" si="11"/>
        <v>34126</v>
      </c>
      <c r="AE10" s="66">
        <f t="shared" si="12"/>
        <v>25.833575426019603</v>
      </c>
      <c r="AF10" s="66">
        <f t="shared" si="13"/>
        <v>-20.816424573980395</v>
      </c>
      <c r="AG10" s="63">
        <f t="shared" si="14"/>
        <v>0</v>
      </c>
    </row>
    <row r="11" spans="1:33" x14ac:dyDescent="0.3">
      <c r="A11" s="55">
        <v>2223</v>
      </c>
      <c r="B11" s="56" t="s">
        <v>219</v>
      </c>
      <c r="C11" s="56" t="s">
        <v>222</v>
      </c>
      <c r="D11" s="57">
        <v>14</v>
      </c>
      <c r="E11" s="58">
        <v>863363</v>
      </c>
      <c r="F11" s="59">
        <v>3121</v>
      </c>
      <c r="G11" s="60">
        <v>3038</v>
      </c>
      <c r="H11" s="60">
        <f t="shared" si="0"/>
        <v>-83</v>
      </c>
      <c r="I11" s="61">
        <f t="shared" si="1"/>
        <v>-2.6594040371675745E-2</v>
      </c>
      <c r="J11" s="62">
        <f t="shared" si="2"/>
        <v>19.759303336842589</v>
      </c>
      <c r="K11" s="62"/>
      <c r="L11" s="62">
        <f t="shared" si="3"/>
        <v>61668.785714285717</v>
      </c>
      <c r="M11" s="62"/>
      <c r="N11" s="63">
        <v>189902.7</v>
      </c>
      <c r="O11" s="63">
        <v>0</v>
      </c>
      <c r="P11" s="63">
        <v>245000</v>
      </c>
      <c r="Q11" s="63">
        <v>382782.24999999994</v>
      </c>
      <c r="R11" s="63">
        <v>0</v>
      </c>
      <c r="S11" s="64">
        <f t="shared" si="4"/>
        <v>-437879.54999999993</v>
      </c>
      <c r="T11" s="63">
        <f t="shared" si="5"/>
        <v>673460.3</v>
      </c>
      <c r="U11" s="63">
        <f t="shared" si="6"/>
        <v>221.67883475971036</v>
      </c>
      <c r="V11" s="63">
        <f t="shared" si="7"/>
        <v>918460.3</v>
      </c>
      <c r="W11" s="63">
        <f t="shared" si="8"/>
        <v>302.32399605003292</v>
      </c>
      <c r="Y11" s="66">
        <f>Fusions.Simulation!$C$2</f>
        <v>13</v>
      </c>
      <c r="Z11" s="66">
        <f t="shared" si="9"/>
        <v>801694.21428571432</v>
      </c>
      <c r="AA11" s="66">
        <f t="shared" si="15"/>
        <v>197340.11428571431</v>
      </c>
      <c r="AB11" s="66">
        <f t="shared" si="16"/>
        <v>197340.11428571431</v>
      </c>
      <c r="AC11" s="66">
        <f t="shared" si="10"/>
        <v>11460755.734848484</v>
      </c>
      <c r="AD11" s="67">
        <f t="shared" si="11"/>
        <v>34126</v>
      </c>
      <c r="AE11" s="66">
        <f t="shared" si="12"/>
        <v>25.833575426019603</v>
      </c>
      <c r="AF11" s="66">
        <f t="shared" si="13"/>
        <v>-20.816424573980395</v>
      </c>
      <c r="AG11" s="63">
        <f t="shared" si="14"/>
        <v>0</v>
      </c>
    </row>
    <row r="12" spans="1:33" x14ac:dyDescent="0.3">
      <c r="A12" s="55">
        <v>2316</v>
      </c>
      <c r="B12" s="56" t="s">
        <v>220</v>
      </c>
      <c r="C12" s="56" t="s">
        <v>222</v>
      </c>
      <c r="D12" s="57">
        <v>14</v>
      </c>
      <c r="E12" s="58">
        <v>2695739</v>
      </c>
      <c r="F12" s="59">
        <v>7276</v>
      </c>
      <c r="G12" s="60">
        <v>7188</v>
      </c>
      <c r="H12" s="60">
        <f t="shared" si="0"/>
        <v>-88</v>
      </c>
      <c r="I12" s="61">
        <f t="shared" si="1"/>
        <v>-1.2094557449147883E-2</v>
      </c>
      <c r="J12" s="62">
        <f t="shared" si="2"/>
        <v>26.464099191078301</v>
      </c>
      <c r="K12" s="62"/>
      <c r="L12" s="62">
        <f t="shared" si="3"/>
        <v>192552.78571428571</v>
      </c>
      <c r="M12" s="62"/>
      <c r="N12" s="63">
        <v>671757.8</v>
      </c>
      <c r="O12" s="63">
        <v>0</v>
      </c>
      <c r="P12" s="63">
        <v>0</v>
      </c>
      <c r="Q12" s="63">
        <v>608512.45000000019</v>
      </c>
      <c r="R12" s="63">
        <v>118471.37999999998</v>
      </c>
      <c r="S12" s="64">
        <f t="shared" si="4"/>
        <v>-55226.030000000115</v>
      </c>
      <c r="T12" s="63">
        <f t="shared" si="5"/>
        <v>2023981.2</v>
      </c>
      <c r="U12" s="63">
        <f t="shared" si="6"/>
        <v>281.57779632721201</v>
      </c>
      <c r="V12" s="63">
        <f t="shared" si="7"/>
        <v>2023981.2</v>
      </c>
      <c r="W12" s="63">
        <f t="shared" si="8"/>
        <v>281.57779632721201</v>
      </c>
      <c r="Y12" s="66">
        <f>Fusions.Simulation!$C$2</f>
        <v>13</v>
      </c>
      <c r="Z12" s="66">
        <f t="shared" si="9"/>
        <v>2503186.2142857141</v>
      </c>
      <c r="AA12" s="66">
        <f t="shared" si="15"/>
        <v>616168.91428571427</v>
      </c>
      <c r="AB12" s="66">
        <f t="shared" si="16"/>
        <v>616168.91428571427</v>
      </c>
      <c r="AC12" s="66">
        <f t="shared" si="10"/>
        <v>11460755.734848484</v>
      </c>
      <c r="AD12" s="67">
        <f t="shared" si="11"/>
        <v>34126</v>
      </c>
      <c r="AE12" s="66">
        <f t="shared" si="12"/>
        <v>25.833575426019603</v>
      </c>
      <c r="AF12" s="66">
        <f t="shared" si="13"/>
        <v>-20.816424573980395</v>
      </c>
      <c r="AG12" s="63">
        <f t="shared" si="14"/>
        <v>0</v>
      </c>
    </row>
    <row r="13" spans="1:33" x14ac:dyDescent="0.3">
      <c r="D13" s="57"/>
      <c r="E13" s="70"/>
    </row>
    <row r="16" spans="1:33" x14ac:dyDescent="0.3">
      <c r="AA16" s="62"/>
      <c r="AB16" s="62"/>
    </row>
  </sheetData>
  <autoFilter ref="A1:M12"/>
  <conditionalFormatting sqref="B2:M12">
    <cfRule type="expression" dxfId="0" priority="1" stopIfTrue="1">
      <formula>#REF!&gt;0</formula>
    </cfRule>
  </conditionalFormatting>
  <printOptions gridLines="1"/>
  <pageMargins left="0.78740157480314965" right="0.70866141732283472" top="0.78740157480314965" bottom="0.9055118110236221" header="0.39370078740157483" footer="0.51181102362204722"/>
  <pageSetup paperSize="8" scale="90" fitToHeight="0" orientation="landscape" horizontalDpi="4294967292" verticalDpi="4294967292" r:id="rId1"/>
  <headerFooter alignWithMargins="0">
    <oddHeader xml:space="preserve">&amp;L&amp;"Courier New,Standard"&amp;16Zentralkassenbeitrag &amp;A&amp;"Courier,Standard"&amp;10
&amp;C
</oddHeader>
    <oddFooter>&amp;L&amp;"Courier New,Fett"&amp;8Evangelisch-reformierte Landeskirche des Kantons Zürich&amp;"Courier New,Standard"
Finanzen und Zentrale Dienste&amp;R&amp;"Courier New,Standard"&amp;8&amp;D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5" zoomScaleNormal="85" workbookViewId="0">
      <selection activeCell="K21" sqref="K21"/>
    </sheetView>
  </sheetViews>
  <sheetFormatPr baseColWidth="10" defaultColWidth="12" defaultRowHeight="13.2" x14ac:dyDescent="0.25"/>
  <cols>
    <col min="1" max="1" width="31.21875" style="96" customWidth="1"/>
    <col min="2" max="2" width="19.5546875" style="89" customWidth="1"/>
    <col min="3" max="3" width="16.77734375" style="89" bestFit="1" customWidth="1"/>
    <col min="4" max="4" width="1.77734375" style="77" customWidth="1"/>
    <col min="5" max="5" width="13.88671875" style="79" bestFit="1" customWidth="1"/>
    <col min="6" max="7" width="14.88671875" style="94" bestFit="1" customWidth="1"/>
    <col min="8" max="8" width="12.77734375" style="95" bestFit="1" customWidth="1"/>
    <col min="9" max="16384" width="12" style="79"/>
  </cols>
  <sheetData>
    <row r="1" spans="1:9" ht="52.2" x14ac:dyDescent="0.3">
      <c r="A1" s="75" t="s">
        <v>149</v>
      </c>
      <c r="B1" s="76" t="s">
        <v>150</v>
      </c>
      <c r="C1" s="76" t="s">
        <v>151</v>
      </c>
      <c r="E1" s="75"/>
      <c r="F1" s="78" t="s">
        <v>152</v>
      </c>
      <c r="G1" s="78" t="s">
        <v>140</v>
      </c>
      <c r="H1" s="78" t="s">
        <v>153</v>
      </c>
    </row>
    <row r="2" spans="1:9" ht="17.7" x14ac:dyDescent="0.5">
      <c r="A2" s="80"/>
      <c r="B2" s="79"/>
      <c r="C2" s="81">
        <v>13</v>
      </c>
      <c r="E2" s="82" t="s">
        <v>210</v>
      </c>
      <c r="F2" s="83">
        <v>14</v>
      </c>
      <c r="G2" s="83">
        <f>$C$2</f>
        <v>13</v>
      </c>
      <c r="H2" s="83">
        <f>G2-F2</f>
        <v>-1</v>
      </c>
    </row>
    <row r="3" spans="1:9" ht="17.7" x14ac:dyDescent="0.5">
      <c r="A3" s="75" t="s">
        <v>154</v>
      </c>
      <c r="B3" s="84">
        <f>SUBTOTAL(9,'FF 2015'!E:E)</f>
        <v>11780361</v>
      </c>
      <c r="C3" s="84">
        <f>SUBTOTAL(9,'FF 2015'!Z:Z)</f>
        <v>11460755.734848484</v>
      </c>
      <c r="E3" s="82" t="s">
        <v>211</v>
      </c>
      <c r="F3" s="83">
        <v>11</v>
      </c>
      <c r="G3" s="83">
        <f t="shared" ref="G3:G12" si="0">$C$2</f>
        <v>13</v>
      </c>
      <c r="H3" s="83">
        <f t="shared" ref="H3:H12" si="1">G3-F3</f>
        <v>2</v>
      </c>
    </row>
    <row r="4" spans="1:9" ht="17.25" x14ac:dyDescent="0.45">
      <c r="A4" s="85" t="s">
        <v>155</v>
      </c>
      <c r="B4" s="84">
        <f>SUBTOTAL(9,'FF 2015'!AA:AA)</f>
        <v>2821109.1039627041</v>
      </c>
      <c r="C4" s="84">
        <f>SUBTOTAL(9,'FF 2015'!AB:AB)</f>
        <v>2821109.1039627041</v>
      </c>
      <c r="E4" s="82" t="s">
        <v>212</v>
      </c>
      <c r="F4" s="83">
        <v>14</v>
      </c>
      <c r="G4" s="83">
        <f t="shared" si="0"/>
        <v>13</v>
      </c>
      <c r="H4" s="83">
        <f t="shared" si="1"/>
        <v>-1</v>
      </c>
    </row>
    <row r="5" spans="1:9" ht="17.25" x14ac:dyDescent="0.45">
      <c r="A5" s="85" t="s">
        <v>156</v>
      </c>
      <c r="B5" s="84">
        <f>SUBTOTAL(9,'FF 2015'!O:O)*-1</f>
        <v>0</v>
      </c>
      <c r="C5" s="84">
        <f>SUBTOTAL(9,'FF 2015'!AG:AG)</f>
        <v>0</v>
      </c>
      <c r="E5" s="82" t="s">
        <v>213</v>
      </c>
      <c r="F5" s="83">
        <v>14</v>
      </c>
      <c r="G5" s="83">
        <f t="shared" si="0"/>
        <v>13</v>
      </c>
      <c r="H5" s="83">
        <f t="shared" si="1"/>
        <v>-1</v>
      </c>
    </row>
    <row r="6" spans="1:9" s="82" customFormat="1" ht="17.7" x14ac:dyDescent="0.5">
      <c r="A6" s="85" t="s">
        <v>157</v>
      </c>
      <c r="B6" s="84">
        <f>SUBTOTAL(9,'FF 2015'!P:P)</f>
        <v>585000</v>
      </c>
      <c r="C6" s="86">
        <v>0</v>
      </c>
      <c r="D6" s="87"/>
      <c r="E6" s="82" t="s">
        <v>214</v>
      </c>
      <c r="F6" s="83">
        <v>14</v>
      </c>
      <c r="G6" s="83">
        <f t="shared" si="0"/>
        <v>13</v>
      </c>
      <c r="H6" s="83">
        <f t="shared" si="1"/>
        <v>-1</v>
      </c>
      <c r="I6" s="79"/>
    </row>
    <row r="7" spans="1:9" ht="17.399999999999999" x14ac:dyDescent="0.3">
      <c r="A7" s="75" t="s">
        <v>158</v>
      </c>
      <c r="B7" s="88">
        <f>SUM(B3:B6)</f>
        <v>15186470.103962705</v>
      </c>
      <c r="C7" s="88">
        <f>SUM(C3:C6)</f>
        <v>14281864.838811189</v>
      </c>
      <c r="E7" s="82" t="s">
        <v>215</v>
      </c>
      <c r="F7" s="83">
        <v>13</v>
      </c>
      <c r="G7" s="83">
        <f t="shared" si="0"/>
        <v>13</v>
      </c>
      <c r="H7" s="83">
        <f t="shared" si="1"/>
        <v>0</v>
      </c>
    </row>
    <row r="8" spans="1:9" s="82" customFormat="1" ht="17.7" x14ac:dyDescent="0.5">
      <c r="A8" s="75" t="s">
        <v>153</v>
      </c>
      <c r="B8" s="89"/>
      <c r="C8" s="90">
        <f>C7-B7</f>
        <v>-904605.2651515156</v>
      </c>
      <c r="D8" s="87"/>
      <c r="E8" s="82" t="s">
        <v>216</v>
      </c>
      <c r="F8" s="83">
        <v>13</v>
      </c>
      <c r="G8" s="83">
        <f t="shared" si="0"/>
        <v>13</v>
      </c>
      <c r="H8" s="83">
        <f t="shared" si="1"/>
        <v>0</v>
      </c>
      <c r="I8" s="79"/>
    </row>
    <row r="9" spans="1:9" ht="17.25" x14ac:dyDescent="0.45">
      <c r="A9" s="79"/>
      <c r="B9" s="79"/>
      <c r="C9" s="84"/>
      <c r="D9" s="91"/>
      <c r="E9" s="82" t="s">
        <v>217</v>
      </c>
      <c r="F9" s="83">
        <v>14</v>
      </c>
      <c r="G9" s="83">
        <f t="shared" si="0"/>
        <v>13</v>
      </c>
      <c r="H9" s="83">
        <f t="shared" si="1"/>
        <v>-1</v>
      </c>
    </row>
    <row r="10" spans="1:9" ht="17.7" x14ac:dyDescent="0.5">
      <c r="A10" s="75"/>
      <c r="B10" s="79"/>
      <c r="C10" s="84"/>
      <c r="E10" s="82" t="s">
        <v>218</v>
      </c>
      <c r="F10" s="83">
        <v>12</v>
      </c>
      <c r="G10" s="83">
        <f t="shared" si="0"/>
        <v>13</v>
      </c>
      <c r="H10" s="83">
        <f t="shared" si="1"/>
        <v>1</v>
      </c>
    </row>
    <row r="11" spans="1:9" ht="17.25" x14ac:dyDescent="0.45">
      <c r="A11" s="85"/>
      <c r="B11" s="79"/>
      <c r="C11" s="84"/>
      <c r="E11" s="82" t="s">
        <v>219</v>
      </c>
      <c r="F11" s="83">
        <v>14</v>
      </c>
      <c r="G11" s="83">
        <f t="shared" si="0"/>
        <v>13</v>
      </c>
      <c r="H11" s="83">
        <f t="shared" si="1"/>
        <v>-1</v>
      </c>
    </row>
    <row r="12" spans="1:9" ht="17.25" x14ac:dyDescent="0.45">
      <c r="A12" s="85"/>
      <c r="B12" s="79"/>
      <c r="C12" s="84"/>
      <c r="E12" s="82" t="s">
        <v>220</v>
      </c>
      <c r="F12" s="83">
        <v>14</v>
      </c>
      <c r="G12" s="83">
        <f t="shared" si="0"/>
        <v>13</v>
      </c>
      <c r="H12" s="83">
        <f t="shared" si="1"/>
        <v>-1</v>
      </c>
    </row>
    <row r="13" spans="1:9" s="82" customFormat="1" ht="17.7" x14ac:dyDescent="0.5">
      <c r="A13" s="85"/>
      <c r="B13" s="84"/>
      <c r="C13" s="88"/>
      <c r="D13" s="87"/>
      <c r="F13" s="83"/>
      <c r="G13" s="83"/>
      <c r="H13" s="83"/>
      <c r="I13" s="79"/>
    </row>
    <row r="14" spans="1:9" ht="17.7" x14ac:dyDescent="0.5">
      <c r="A14" s="75"/>
      <c r="B14" s="88"/>
      <c r="C14" s="88"/>
      <c r="E14" s="82"/>
      <c r="F14" s="83"/>
      <c r="G14" s="83"/>
      <c r="H14" s="83"/>
    </row>
    <row r="15" spans="1:9" s="92" customFormat="1" ht="17.7" x14ac:dyDescent="0.5">
      <c r="A15" s="75"/>
      <c r="B15" s="88"/>
      <c r="D15" s="93"/>
      <c r="E15" s="79"/>
      <c r="F15" s="94"/>
      <c r="G15" s="94"/>
      <c r="H15" s="95"/>
    </row>
    <row r="17" spans="1:9" ht="52.2" x14ac:dyDescent="0.3">
      <c r="A17" s="75" t="str">
        <f>A1</f>
        <v>Position</v>
      </c>
      <c r="B17" s="76" t="str">
        <f t="shared" ref="B17:F17" si="2">B1</f>
        <v>bisherige Steuerfüsse</v>
      </c>
      <c r="C17" s="76" t="s">
        <v>151</v>
      </c>
      <c r="D17" s="77">
        <f t="shared" si="2"/>
        <v>0</v>
      </c>
      <c r="E17" s="75"/>
      <c r="F17" s="78" t="str">
        <f t="shared" si="2"/>
        <v>Steuerfuss 2015</v>
      </c>
      <c r="G17" s="78" t="s">
        <v>140</v>
      </c>
      <c r="H17" s="78"/>
    </row>
    <row r="18" spans="1:9" ht="17.25" x14ac:dyDescent="0.45">
      <c r="A18" s="80"/>
      <c r="B18" s="79"/>
      <c r="C18" s="79"/>
      <c r="D18" s="77">
        <f t="shared" ref="D18:F18" si="3">D2</f>
        <v>0</v>
      </c>
      <c r="E18" s="82" t="str">
        <f t="shared" si="3"/>
        <v>Gemeinde 1</v>
      </c>
      <c r="F18" s="83">
        <f t="shared" si="3"/>
        <v>14</v>
      </c>
      <c r="G18" s="83">
        <f>F18</f>
        <v>14</v>
      </c>
      <c r="H18" s="83"/>
    </row>
    <row r="19" spans="1:9" ht="17.7" x14ac:dyDescent="0.5">
      <c r="A19" s="75" t="str">
        <f t="shared" ref="A19:A24" si="4">A3</f>
        <v>Nettosteuern</v>
      </c>
      <c r="B19" s="84">
        <f t="shared" ref="B19:F19" si="5">B3</f>
        <v>11780361</v>
      </c>
      <c r="C19" s="84">
        <f>B19</f>
        <v>11780361</v>
      </c>
      <c r="D19" s="77">
        <f t="shared" si="5"/>
        <v>0</v>
      </c>
      <c r="E19" s="82" t="str">
        <f t="shared" si="5"/>
        <v>Gemeinde 2</v>
      </c>
      <c r="F19" s="83">
        <f t="shared" si="5"/>
        <v>11</v>
      </c>
      <c r="G19" s="83">
        <f t="shared" ref="G19:G27" si="6">F19</f>
        <v>11</v>
      </c>
      <c r="H19" s="83"/>
    </row>
    <row r="20" spans="1:9" ht="17.25" x14ac:dyDescent="0.45">
      <c r="A20" s="85" t="str">
        <f t="shared" si="4"/>
        <v>Zentralkassenbeitrag</v>
      </c>
      <c r="B20" s="84">
        <f t="shared" ref="B20:F20" si="7">B4</f>
        <v>2821109.1039627041</v>
      </c>
      <c r="C20" s="84">
        <f>B20</f>
        <v>2821109.1039627041</v>
      </c>
      <c r="D20" s="77">
        <f t="shared" si="7"/>
        <v>0</v>
      </c>
      <c r="E20" s="82" t="str">
        <f t="shared" si="7"/>
        <v>Gemeinde 3</v>
      </c>
      <c r="F20" s="83">
        <f t="shared" si="7"/>
        <v>14</v>
      </c>
      <c r="G20" s="83">
        <f t="shared" si="6"/>
        <v>14</v>
      </c>
      <c r="H20" s="83"/>
    </row>
    <row r="21" spans="1:9" ht="17.25" x14ac:dyDescent="0.45">
      <c r="A21" s="85" t="str">
        <f t="shared" si="4"/>
        <v>SKA</v>
      </c>
      <c r="B21" s="89">
        <f t="shared" ref="B21:F21" si="8">B5</f>
        <v>0</v>
      </c>
      <c r="C21" s="84"/>
      <c r="D21" s="77">
        <f t="shared" si="8"/>
        <v>0</v>
      </c>
      <c r="E21" s="82" t="str">
        <f t="shared" si="8"/>
        <v>Gemeinde 4</v>
      </c>
      <c r="F21" s="83">
        <f t="shared" si="8"/>
        <v>14</v>
      </c>
      <c r="G21" s="83">
        <f t="shared" si="6"/>
        <v>14</v>
      </c>
      <c r="H21" s="83"/>
    </row>
    <row r="22" spans="1:9" s="82" customFormat="1" ht="17.25" x14ac:dyDescent="0.45">
      <c r="A22" s="85" t="str">
        <f t="shared" si="4"/>
        <v>Finanzausgleich</v>
      </c>
      <c r="B22" s="84">
        <f t="shared" ref="B22:F22" si="9">B6</f>
        <v>585000</v>
      </c>
      <c r="C22" s="84">
        <f>B22</f>
        <v>585000</v>
      </c>
      <c r="D22" s="87">
        <f t="shared" si="9"/>
        <v>0</v>
      </c>
      <c r="E22" s="82" t="str">
        <f t="shared" si="9"/>
        <v>Gemeinde 5</v>
      </c>
      <c r="F22" s="83">
        <f t="shared" si="9"/>
        <v>14</v>
      </c>
      <c r="G22" s="83">
        <f t="shared" si="6"/>
        <v>14</v>
      </c>
      <c r="H22" s="83"/>
      <c r="I22" s="79"/>
    </row>
    <row r="23" spans="1:9" ht="17.399999999999999" x14ac:dyDescent="0.3">
      <c r="A23" s="75" t="str">
        <f t="shared" si="4"/>
        <v>zur Verfügung Bezirk</v>
      </c>
      <c r="B23" s="88">
        <f t="shared" ref="B23:F23" si="10">B7</f>
        <v>15186470.103962705</v>
      </c>
      <c r="C23" s="88">
        <f>B23</f>
        <v>15186470.103962705</v>
      </c>
      <c r="D23" s="77">
        <f t="shared" si="10"/>
        <v>0</v>
      </c>
      <c r="E23" s="82" t="str">
        <f t="shared" si="10"/>
        <v>Gemeinde 6</v>
      </c>
      <c r="F23" s="83">
        <f t="shared" si="10"/>
        <v>13</v>
      </c>
      <c r="G23" s="83">
        <f t="shared" si="6"/>
        <v>13</v>
      </c>
      <c r="H23" s="83"/>
    </row>
    <row r="24" spans="1:9" s="82" customFormat="1" ht="17.7" x14ac:dyDescent="0.5">
      <c r="A24" s="75" t="str">
        <f t="shared" si="4"/>
        <v>Differenz</v>
      </c>
      <c r="B24" s="89">
        <f t="shared" ref="B24:F24" si="11">B8</f>
        <v>0</v>
      </c>
      <c r="C24" s="89">
        <v>0</v>
      </c>
      <c r="D24" s="87">
        <f t="shared" si="11"/>
        <v>0</v>
      </c>
      <c r="E24" s="82" t="str">
        <f t="shared" si="11"/>
        <v>Gemeinde 7</v>
      </c>
      <c r="F24" s="83">
        <f t="shared" si="11"/>
        <v>13</v>
      </c>
      <c r="G24" s="83">
        <f t="shared" si="6"/>
        <v>13</v>
      </c>
      <c r="H24" s="83"/>
      <c r="I24" s="79"/>
    </row>
    <row r="25" spans="1:9" ht="17.25" x14ac:dyDescent="0.45">
      <c r="A25" s="79"/>
      <c r="B25" s="79"/>
      <c r="C25" s="84"/>
      <c r="D25" s="91">
        <f t="shared" ref="D25:F25" si="12">D9</f>
        <v>0</v>
      </c>
      <c r="E25" s="82" t="str">
        <f t="shared" si="12"/>
        <v>Gemeinde 8</v>
      </c>
      <c r="F25" s="83">
        <f t="shared" si="12"/>
        <v>14</v>
      </c>
      <c r="G25" s="83">
        <f t="shared" si="6"/>
        <v>14</v>
      </c>
      <c r="H25" s="83"/>
    </row>
    <row r="26" spans="1:9" ht="17.7" x14ac:dyDescent="0.5">
      <c r="A26" s="75"/>
      <c r="B26" s="79"/>
      <c r="C26" s="84"/>
      <c r="D26" s="77">
        <f t="shared" ref="D26:F26" si="13">D10</f>
        <v>0</v>
      </c>
      <c r="E26" s="82" t="str">
        <f t="shared" si="13"/>
        <v>Gemeinde 9</v>
      </c>
      <c r="F26" s="83">
        <f t="shared" si="13"/>
        <v>12</v>
      </c>
      <c r="G26" s="83">
        <f t="shared" si="6"/>
        <v>12</v>
      </c>
      <c r="H26" s="83"/>
    </row>
    <row r="27" spans="1:9" ht="17.25" x14ac:dyDescent="0.45">
      <c r="A27" s="85"/>
      <c r="B27" s="79"/>
      <c r="C27" s="84"/>
      <c r="D27" s="77">
        <f t="shared" ref="D27:F27" si="14">D11</f>
        <v>0</v>
      </c>
      <c r="E27" s="82" t="str">
        <f t="shared" si="14"/>
        <v>Gemeinde 10</v>
      </c>
      <c r="F27" s="83">
        <f t="shared" si="14"/>
        <v>14</v>
      </c>
      <c r="G27" s="83">
        <f t="shared" si="6"/>
        <v>14</v>
      </c>
      <c r="H27" s="83"/>
    </row>
    <row r="28" spans="1:9" ht="17.25" x14ac:dyDescent="0.45">
      <c r="A28" s="85"/>
      <c r="B28" s="79"/>
      <c r="C28" s="84"/>
      <c r="E28" s="82"/>
      <c r="F28" s="83"/>
      <c r="G28" s="83"/>
      <c r="H28" s="83"/>
    </row>
  </sheetData>
  <conditionalFormatting sqref="H2:H14">
    <cfRule type="iconSet" priority="2">
      <iconSet reverse="1">
        <cfvo type="percent" val="0"/>
        <cfvo type="num" val="0"/>
        <cfvo type="num" val="8.9999999999999993E-3"/>
      </iconSet>
    </cfRule>
  </conditionalFormatting>
  <conditionalFormatting sqref="H18:H28">
    <cfRule type="iconSet" priority="1">
      <iconSet reverse="1">
        <cfvo type="percent" val="0"/>
        <cfvo type="num" val="0"/>
        <cfvo type="num" val="8.9999999999999993E-3"/>
      </iconSet>
    </cfRule>
  </conditionalFormatting>
  <printOptions gridLines="1"/>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W59"/>
  <sheetViews>
    <sheetView workbookViewId="0">
      <selection activeCell="C38" sqref="C38"/>
    </sheetView>
  </sheetViews>
  <sheetFormatPr baseColWidth="10" defaultRowHeight="14.4" x14ac:dyDescent="0.3"/>
  <cols>
    <col min="1" max="1" width="51.21875" customWidth="1"/>
    <col min="21" max="21" width="20.21875" bestFit="1" customWidth="1"/>
  </cols>
  <sheetData>
    <row r="7" spans="21:23" ht="14.25" x14ac:dyDescent="0.45">
      <c r="V7" t="s">
        <v>76</v>
      </c>
      <c r="W7" t="s">
        <v>177</v>
      </c>
    </row>
    <row r="8" spans="21:23" ht="14.25" x14ac:dyDescent="0.45">
      <c r="U8" t="s">
        <v>178</v>
      </c>
      <c r="V8">
        <f>Basisdaten!N28</f>
        <v>2010</v>
      </c>
      <c r="W8">
        <f>Basisdaten!N29</f>
        <v>28</v>
      </c>
    </row>
    <row r="9" spans="21:23" ht="14.25" x14ac:dyDescent="0.45">
      <c r="U9" t="s">
        <v>179</v>
      </c>
      <c r="V9">
        <f>Basisdaten!N30</f>
        <v>1290</v>
      </c>
      <c r="W9">
        <f>Basisdaten!N31</f>
        <v>22</v>
      </c>
    </row>
    <row r="10" spans="21:23" ht="14.25" x14ac:dyDescent="0.45">
      <c r="U10" t="s">
        <v>180</v>
      </c>
      <c r="V10">
        <f>Basisdaten!N32</f>
        <v>1201</v>
      </c>
      <c r="W10">
        <f>Basisdaten!N33</f>
        <v>29</v>
      </c>
    </row>
    <row r="11" spans="21:23" ht="14.25" x14ac:dyDescent="0.45">
      <c r="U11" t="s">
        <v>183</v>
      </c>
      <c r="V11">
        <f>Basisdaten!N34</f>
        <v>540.20000000000005</v>
      </c>
      <c r="W11">
        <f>Basisdaten!N35</f>
        <v>18</v>
      </c>
    </row>
    <row r="12" spans="21:23" ht="14.25" x14ac:dyDescent="0.45">
      <c r="U12" t="s">
        <v>181</v>
      </c>
      <c r="V12">
        <f>Basisdaten!N36</f>
        <v>478.2</v>
      </c>
      <c r="W12">
        <f>Basisdaten!N37</f>
        <v>29</v>
      </c>
    </row>
    <row r="13" spans="21:23" ht="14.25" x14ac:dyDescent="0.45">
      <c r="U13" t="s">
        <v>182</v>
      </c>
      <c r="V13">
        <f>Basisdaten!N38</f>
        <v>785</v>
      </c>
      <c r="W13">
        <f>Basisdaten!N39</f>
        <v>17</v>
      </c>
    </row>
    <row r="36" spans="1:3" x14ac:dyDescent="0.3">
      <c r="A36" t="s">
        <v>107</v>
      </c>
      <c r="B36">
        <v>10</v>
      </c>
    </row>
    <row r="37" spans="1:3" x14ac:dyDescent="0.3">
      <c r="A37" t="s">
        <v>108</v>
      </c>
      <c r="B37" s="34">
        <v>1.0999999999999999E-2</v>
      </c>
    </row>
    <row r="38" spans="1:3" x14ac:dyDescent="0.3">
      <c r="A38" t="s">
        <v>112</v>
      </c>
      <c r="B38" s="34">
        <v>0</v>
      </c>
    </row>
    <row r="40" spans="1:3" s="36" customFormat="1" x14ac:dyDescent="0.3">
      <c r="A40" s="36" t="s">
        <v>109</v>
      </c>
    </row>
    <row r="41" spans="1:3" s="24" customFormat="1" x14ac:dyDescent="0.3">
      <c r="B41" s="24">
        <v>2015</v>
      </c>
      <c r="C41" s="40">
        <f>B41+$B$36</f>
        <v>2025</v>
      </c>
    </row>
    <row r="42" spans="1:3" s="24" customFormat="1" x14ac:dyDescent="0.3">
      <c r="A42" s="24" t="s">
        <v>111</v>
      </c>
      <c r="B42" s="39">
        <f>Basisdaten!N15</f>
        <v>34126</v>
      </c>
      <c r="C42" s="39">
        <f>VLOOKUP($C$41,Basisdaten!$B$5:$N$14,13,FALSE)</f>
        <v>31592.890860304928</v>
      </c>
    </row>
    <row r="43" spans="1:3" ht="14.25" hidden="1" x14ac:dyDescent="0.45">
      <c r="A43" t="str">
        <f>Basisdaten!B$28</f>
        <v>Pfarrstellen in %</v>
      </c>
      <c r="B43" s="41">
        <f>Basisdaten!N$28</f>
        <v>2010</v>
      </c>
      <c r="C43" s="41">
        <f>ROUNDUP(C42/1500*100,-2)/100*(100-(B38*100))</f>
        <v>2200</v>
      </c>
    </row>
    <row r="44" spans="1:3" x14ac:dyDescent="0.3">
      <c r="A44" t="str">
        <f>Basisdaten!B$30</f>
        <v>Sozialdiakonie in %</v>
      </c>
      <c r="B44" s="41">
        <f>Basisdaten!N$30</f>
        <v>1290</v>
      </c>
      <c r="C44" s="41">
        <f>B44/100*(100-(($B$36*$B$37*100)))</f>
        <v>1148.1000000000001</v>
      </c>
    </row>
    <row r="45" spans="1:3" x14ac:dyDescent="0.3">
      <c r="A45" t="str">
        <f>Basisdaten!B$32</f>
        <v>Sigristen/Hausdienst in %</v>
      </c>
      <c r="B45" s="41">
        <f>Basisdaten!N$32</f>
        <v>1201</v>
      </c>
      <c r="C45" s="41">
        <f t="shared" ref="C45:C48" si="0">B45/100*(100-(($B$36*$B$37*100)))</f>
        <v>1068.8899999999999</v>
      </c>
    </row>
    <row r="46" spans="1:3" x14ac:dyDescent="0.3">
      <c r="A46" t="str">
        <f>Basisdaten!B$34</f>
        <v>Kirchenmusik in %</v>
      </c>
      <c r="B46" s="41">
        <f>Basisdaten!N$34</f>
        <v>540.20000000000005</v>
      </c>
      <c r="C46" s="41">
        <f t="shared" si="0"/>
        <v>480.77800000000002</v>
      </c>
    </row>
    <row r="47" spans="1:3" x14ac:dyDescent="0.3">
      <c r="A47" t="str">
        <f>Basisdaten!B$36</f>
        <v>Katechetik in %</v>
      </c>
      <c r="B47" s="41">
        <f>Basisdaten!N$36</f>
        <v>478.2</v>
      </c>
      <c r="C47" s="41">
        <f t="shared" si="0"/>
        <v>425.59800000000001</v>
      </c>
    </row>
    <row r="48" spans="1:3" ht="15" thickBot="1" x14ac:dyDescent="0.35">
      <c r="A48" t="str">
        <f>Basisdaten!B$38</f>
        <v>Sekretariat/Verwaltung in %</v>
      </c>
      <c r="B48" s="41">
        <f>Basisdaten!N$38</f>
        <v>785</v>
      </c>
      <c r="C48" s="41">
        <f t="shared" si="0"/>
        <v>698.65</v>
      </c>
    </row>
    <row r="49" spans="1:4" ht="15" thickBot="1" x14ac:dyDescent="0.35">
      <c r="A49" s="43" t="s">
        <v>46</v>
      </c>
      <c r="B49" s="44">
        <f>SUM(B43:B48)</f>
        <v>6304.4</v>
      </c>
      <c r="C49" s="45">
        <f>SUM(C43:C48)</f>
        <v>6022.0159999999996</v>
      </c>
      <c r="D49" s="23"/>
    </row>
    <row r="50" spans="1:4" s="35" customFormat="1" x14ac:dyDescent="0.3">
      <c r="A50" s="35" t="s">
        <v>110</v>
      </c>
    </row>
    <row r="51" spans="1:4" s="37" customFormat="1" x14ac:dyDescent="0.3">
      <c r="B51" s="37">
        <v>2015</v>
      </c>
      <c r="C51" s="42">
        <f>B51+$B$36</f>
        <v>2025</v>
      </c>
    </row>
    <row r="52" spans="1:4" s="37" customFormat="1" x14ac:dyDescent="0.3">
      <c r="A52" s="37" t="s">
        <v>111</v>
      </c>
      <c r="B52" s="38">
        <f>Basisdaten!N15</f>
        <v>34126</v>
      </c>
      <c r="C52" s="38">
        <f>VLOOKUP($C$41,Basisdaten!$B$5:$N$14,13,FALSE)</f>
        <v>31592.890860304928</v>
      </c>
    </row>
    <row r="53" spans="1:4" ht="14.25" hidden="1" x14ac:dyDescent="0.45">
      <c r="A53" t="str">
        <f>Basisdaten!B$28</f>
        <v>Pfarrstellen in %</v>
      </c>
      <c r="B53" s="41">
        <f>Basisdaten!N$28</f>
        <v>2010</v>
      </c>
      <c r="C53" s="41">
        <f>ROUNDUP(C52/1500*100,-2)</f>
        <v>2200</v>
      </c>
    </row>
    <row r="54" spans="1:4" x14ac:dyDescent="0.3">
      <c r="A54" t="str">
        <f>Basisdaten!B$30</f>
        <v>Sozialdiakonie in %</v>
      </c>
      <c r="B54" s="41">
        <f>Basisdaten!N$30</f>
        <v>1290</v>
      </c>
      <c r="C54" s="41">
        <f>B54/100*(100-(($B$36*$B$37*100)))</f>
        <v>1148.1000000000001</v>
      </c>
    </row>
    <row r="55" spans="1:4" x14ac:dyDescent="0.3">
      <c r="A55" t="str">
        <f>Basisdaten!B$32</f>
        <v>Sigristen/Hausdienst in %</v>
      </c>
      <c r="B55" s="41">
        <f>Basisdaten!N$32</f>
        <v>1201</v>
      </c>
      <c r="C55" s="41">
        <f t="shared" ref="C55:C58" si="1">B55/100*(100-(($B$36*$B$37*100)))</f>
        <v>1068.8899999999999</v>
      </c>
    </row>
    <row r="56" spans="1:4" x14ac:dyDescent="0.3">
      <c r="A56" t="str">
        <f>Basisdaten!B$34</f>
        <v>Kirchenmusik in %</v>
      </c>
      <c r="B56" s="41">
        <f>Basisdaten!N$34</f>
        <v>540.20000000000005</v>
      </c>
      <c r="C56" s="41">
        <f t="shared" si="1"/>
        <v>480.77800000000002</v>
      </c>
    </row>
    <row r="57" spans="1:4" x14ac:dyDescent="0.3">
      <c r="A57" t="str">
        <f>Basisdaten!B$36</f>
        <v>Katechetik in %</v>
      </c>
      <c r="B57" s="41">
        <f>Basisdaten!N$36</f>
        <v>478.2</v>
      </c>
      <c r="C57" s="41">
        <f t="shared" si="1"/>
        <v>425.59800000000001</v>
      </c>
    </row>
    <row r="58" spans="1:4" ht="15" thickBot="1" x14ac:dyDescent="0.35">
      <c r="A58" t="str">
        <f>Basisdaten!B$38</f>
        <v>Sekretariat/Verwaltung in %</v>
      </c>
      <c r="B58" s="41">
        <f>Basisdaten!N$38</f>
        <v>785</v>
      </c>
      <c r="C58" s="41">
        <f t="shared" si="1"/>
        <v>698.65</v>
      </c>
    </row>
    <row r="59" spans="1:4" ht="15" thickBot="1" x14ac:dyDescent="0.35">
      <c r="A59" s="43" t="s">
        <v>46</v>
      </c>
      <c r="B59" s="44">
        <f>SUM(B53:B58)</f>
        <v>6304.4</v>
      </c>
      <c r="C59" s="45">
        <f>SUM(C53:C58)</f>
        <v>6022.0159999999996</v>
      </c>
      <c r="D59" s="23"/>
    </row>
  </sheetData>
  <pageMargins left="0.7" right="0.7" top="0.78740157499999996" bottom="0.78740157499999996" header="0.3" footer="0.3"/>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C35"/>
  <sheetViews>
    <sheetView zoomScale="85" zoomScaleNormal="85" workbookViewId="0">
      <selection activeCell="N30" sqref="N30"/>
    </sheetView>
  </sheetViews>
  <sheetFormatPr baseColWidth="10" defaultRowHeight="14.4" x14ac:dyDescent="0.3"/>
  <sheetData>
    <row r="25" spans="1:3" x14ac:dyDescent="0.3">
      <c r="A25" t="s">
        <v>184</v>
      </c>
      <c r="B25" t="s">
        <v>185</v>
      </c>
      <c r="C25" t="s">
        <v>186</v>
      </c>
    </row>
    <row r="26" spans="1:3" ht="14.25" x14ac:dyDescent="0.45">
      <c r="A26">
        <v>2006</v>
      </c>
      <c r="B26" s="21">
        <f>Basisdaten!P24*-1</f>
        <v>0</v>
      </c>
    </row>
    <row r="27" spans="1:3" ht="14.25" x14ac:dyDescent="0.45">
      <c r="A27">
        <v>2007</v>
      </c>
      <c r="B27" s="21">
        <f>Basisdaten!P23*-1</f>
        <v>-8.8573959255988655E-4</v>
      </c>
    </row>
    <row r="28" spans="1:3" ht="14.25" x14ac:dyDescent="0.45">
      <c r="A28">
        <v>2008</v>
      </c>
      <c r="B28" s="21">
        <f>Basisdaten!P22*-1</f>
        <v>2.2953539823008517E-3</v>
      </c>
    </row>
    <row r="29" spans="1:3" ht="14.25" x14ac:dyDescent="0.45">
      <c r="A29">
        <v>2009</v>
      </c>
      <c r="B29" s="21">
        <f>Basisdaten!P21*-1</f>
        <v>1.1087396402139627E-3</v>
      </c>
    </row>
    <row r="30" spans="1:3" ht="14.25" x14ac:dyDescent="0.45">
      <c r="A30">
        <v>2010</v>
      </c>
      <c r="B30" s="21">
        <f>Basisdaten!P20*-1</f>
        <v>6.5210755612287175E-3</v>
      </c>
    </row>
    <row r="31" spans="1:3" ht="14.25" x14ac:dyDescent="0.45">
      <c r="A31">
        <v>2011</v>
      </c>
      <c r="B31" s="21">
        <f>Basisdaten!P19*-1</f>
        <v>7.709066532595954E-3</v>
      </c>
    </row>
    <row r="32" spans="1:3" ht="14.25" x14ac:dyDescent="0.45">
      <c r="A32">
        <v>2012</v>
      </c>
      <c r="B32" s="21">
        <f>Basisdaten!P18*-1</f>
        <v>8.1630355232786833E-3</v>
      </c>
    </row>
    <row r="33" spans="1:2" ht="14.25" x14ac:dyDescent="0.45">
      <c r="A33">
        <v>2013</v>
      </c>
      <c r="B33" s="21">
        <f>Basisdaten!P17*-1</f>
        <v>8.9113406743103196E-3</v>
      </c>
    </row>
    <row r="34" spans="1:2" ht="14.25" x14ac:dyDescent="0.45">
      <c r="A34">
        <v>2014</v>
      </c>
      <c r="B34" s="21">
        <f>Basisdaten!P16*-1</f>
        <v>8.7910199874005057E-3</v>
      </c>
    </row>
    <row r="35" spans="1:2" ht="14.25" x14ac:dyDescent="0.45">
      <c r="A35">
        <v>2015</v>
      </c>
      <c r="B35" s="21">
        <f>Basisdaten!P15*-1</f>
        <v>1.4126823631373631E-2</v>
      </c>
    </row>
  </sheetData>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Basisdaten</vt:lpstr>
      <vt:lpstr>Gesamtsimulation</vt:lpstr>
      <vt:lpstr>Simulation Ressourcenrückgang</vt:lpstr>
      <vt:lpstr>Entschuldungsbeiträge</vt:lpstr>
      <vt:lpstr>FF 2015</vt:lpstr>
      <vt:lpstr>Fusions.Simulation</vt:lpstr>
      <vt:lpstr>Personal</vt:lpstr>
      <vt:lpstr>Mitglieder</vt:lpstr>
      <vt:lpstr>Basisdaten!Druckbereich</vt:lpstr>
      <vt:lpstr>'FF 2015'!Druckbereich</vt:lpstr>
      <vt:lpstr>Fusions.Simulation!Druckbereich</vt:lpstr>
      <vt:lpstr>Mitglieder!Druckbereich</vt:lpstr>
      <vt:lpstr>Personal!Druckbereich</vt:lpstr>
      <vt:lpstr>'FF 2015'!Drucktitel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dc:creator>
  <cp:lastModifiedBy>Espenhorst Svenja</cp:lastModifiedBy>
  <cp:lastPrinted>2016-11-29T22:45:56Z</cp:lastPrinted>
  <dcterms:created xsi:type="dcterms:W3CDTF">2015-11-09T05:53:36Z</dcterms:created>
  <dcterms:modified xsi:type="dcterms:W3CDTF">2018-05-27T11:13:05Z</dcterms:modified>
</cp:coreProperties>
</file>